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7.xml" ContentType="application/vnd.openxmlformats-officedocument.spreadsheetml.comments+xml"/>
  <Override PartName="/xl/charts/chart4.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tabRatio="873"/>
  </bookViews>
  <sheets>
    <sheet name="Instrucciones y consideraciones" sheetId="7" r:id="rId1"/>
    <sheet name="Cálculo valoración empresa" sheetId="11" r:id="rId2"/>
    <sheet name="Matriz de riesgos" sheetId="15" r:id="rId3"/>
    <sheet name="2015-2016" sheetId="2" r:id="rId4"/>
    <sheet name="2017" sheetId="4" r:id="rId5"/>
    <sheet name="2018" sheetId="5" r:id="rId6"/>
    <sheet name="2019" sheetId="10" r:id="rId7"/>
    <sheet name="Activo" sheetId="12" r:id="rId8"/>
    <sheet name="Pasivo" sheetId="13" r:id="rId9"/>
    <sheet name="PyG" sheetId="14" r:id="rId10"/>
  </sheets>
  <definedNames>
    <definedName name="_xlnm._FilterDatabase" localSheetId="7" hidden="1">Activo!$E$16:$K$83</definedName>
    <definedName name="_xlnm._FilterDatabase" localSheetId="8" hidden="1">Pasivo!$D$7:$J$73</definedName>
    <definedName name="_xlnm._FilterDatabase" localSheetId="9" hidden="1">PyG!$C$4:$I$34</definedName>
  </definedNames>
  <calcPr calcId="145621"/>
</workbook>
</file>

<file path=xl/calcChain.xml><?xml version="1.0" encoding="utf-8"?>
<calcChain xmlns="http://schemas.openxmlformats.org/spreadsheetml/2006/main">
  <c r="I11" i="13" l="1"/>
  <c r="H11" i="13"/>
  <c r="I111" i="2" l="1"/>
  <c r="C6" i="4" l="1"/>
  <c r="C6" i="5" s="1"/>
  <c r="C6" i="10" s="1"/>
  <c r="D54" i="14"/>
  <c r="G11" i="14"/>
  <c r="F11" i="14"/>
  <c r="E11" i="14"/>
  <c r="D51" i="14"/>
  <c r="D50" i="14"/>
  <c r="D49" i="14"/>
  <c r="C15" i="2" l="1"/>
  <c r="D15" i="2" s="1"/>
  <c r="E15" i="2" s="1"/>
  <c r="F15" i="2" s="1"/>
  <c r="G15" i="2" s="1"/>
  <c r="H15" i="2" s="1"/>
  <c r="I15" i="2" s="1"/>
  <c r="J15" i="2" s="1"/>
  <c r="K15" i="2" l="1"/>
  <c r="L15" i="2" s="1"/>
  <c r="M15" i="2" s="1"/>
  <c r="N15" i="2" s="1"/>
  <c r="O15" i="2" s="1"/>
  <c r="P15" i="2" s="1"/>
  <c r="Q15" i="2" s="1"/>
  <c r="R15" i="2" s="1"/>
  <c r="S15" i="2" s="1"/>
  <c r="T15" i="2" s="1"/>
  <c r="U15" i="2" s="1"/>
  <c r="I42" i="13"/>
  <c r="H42" i="13"/>
  <c r="G42" i="13"/>
  <c r="F42" i="13"/>
  <c r="I37" i="13"/>
  <c r="H37" i="13"/>
  <c r="G37" i="13"/>
  <c r="F37" i="13"/>
  <c r="F35" i="13" s="1"/>
  <c r="J72" i="12"/>
  <c r="I72" i="12"/>
  <c r="H72" i="12"/>
  <c r="G72" i="12"/>
  <c r="J66" i="12"/>
  <c r="I66" i="12"/>
  <c r="H66" i="12"/>
  <c r="G66" i="12"/>
  <c r="J58" i="12"/>
  <c r="I58" i="12"/>
  <c r="H58" i="12"/>
  <c r="G58" i="12"/>
  <c r="J51" i="12"/>
  <c r="I51" i="12"/>
  <c r="H51" i="12"/>
  <c r="G51" i="12"/>
  <c r="J40" i="12"/>
  <c r="I40" i="12"/>
  <c r="H40" i="12"/>
  <c r="G40" i="12"/>
  <c r="J34" i="12"/>
  <c r="I34" i="12"/>
  <c r="H34" i="12"/>
  <c r="G34" i="12"/>
  <c r="J31" i="12"/>
  <c r="I31" i="12"/>
  <c r="H31" i="12"/>
  <c r="G31" i="12"/>
  <c r="G27" i="12"/>
  <c r="J19" i="12"/>
  <c r="I19" i="12"/>
  <c r="H19" i="12"/>
  <c r="G19" i="12"/>
  <c r="E8" i="14" l="1"/>
  <c r="F62" i="2"/>
  <c r="G35" i="13"/>
  <c r="H35" i="13"/>
  <c r="I35" i="13"/>
  <c r="J22" i="12"/>
  <c r="I22" i="12"/>
  <c r="H22" i="12"/>
  <c r="G22" i="12"/>
  <c r="K101" i="12"/>
  <c r="J101" i="12"/>
  <c r="H12" i="14"/>
  <c r="G12" i="14"/>
  <c r="F12" i="14"/>
  <c r="E12" i="14"/>
  <c r="L97" i="12"/>
  <c r="K97" i="12"/>
  <c r="J97" i="12"/>
  <c r="I97" i="12"/>
  <c r="I91" i="12"/>
  <c r="G10" i="14"/>
  <c r="H10" i="14" s="1"/>
  <c r="F10" i="14"/>
  <c r="D44" i="14"/>
  <c r="D42" i="14"/>
  <c r="D41" i="14"/>
  <c r="E10" i="14" s="1"/>
  <c r="D43" i="14"/>
  <c r="I33" i="14"/>
  <c r="I31" i="14"/>
  <c r="I29" i="14"/>
  <c r="H28" i="14"/>
  <c r="G28" i="14"/>
  <c r="F28" i="14"/>
  <c r="I27" i="14"/>
  <c r="I26" i="14"/>
  <c r="I25" i="14"/>
  <c r="I24" i="14"/>
  <c r="I23" i="14"/>
  <c r="I21" i="14"/>
  <c r="I19" i="14"/>
  <c r="I18" i="14"/>
  <c r="I17" i="14"/>
  <c r="I16" i="14"/>
  <c r="I15" i="14"/>
  <c r="I14" i="14"/>
  <c r="I13" i="14"/>
  <c r="I9" i="14"/>
  <c r="I7" i="14"/>
  <c r="I6" i="14"/>
  <c r="J72" i="13"/>
  <c r="J71" i="13"/>
  <c r="J70" i="13"/>
  <c r="J69" i="13"/>
  <c r="J67" i="13"/>
  <c r="J66" i="13"/>
  <c r="J65" i="13"/>
  <c r="J64" i="13"/>
  <c r="J62" i="13"/>
  <c r="J61" i="13"/>
  <c r="J60" i="13"/>
  <c r="J59" i="13"/>
  <c r="J57" i="13"/>
  <c r="J55" i="13"/>
  <c r="J54" i="13"/>
  <c r="J53" i="13"/>
  <c r="J51" i="13"/>
  <c r="J50" i="13"/>
  <c r="J49" i="13"/>
  <c r="J48" i="13"/>
  <c r="J47" i="13"/>
  <c r="J46" i="13"/>
  <c r="J45" i="13"/>
  <c r="J44" i="13"/>
  <c r="J43" i="13"/>
  <c r="J42" i="13"/>
  <c r="J41" i="13"/>
  <c r="J40" i="13"/>
  <c r="J39" i="13"/>
  <c r="J38" i="13"/>
  <c r="J37" i="13"/>
  <c r="J36" i="13"/>
  <c r="J34" i="13"/>
  <c r="J33" i="13"/>
  <c r="J32" i="13"/>
  <c r="J31" i="13"/>
  <c r="J30" i="13"/>
  <c r="J29" i="13"/>
  <c r="J28" i="13"/>
  <c r="J27" i="13"/>
  <c r="J26" i="13"/>
  <c r="J25" i="13"/>
  <c r="J24" i="13"/>
  <c r="J22" i="13"/>
  <c r="J18" i="13"/>
  <c r="J17" i="13"/>
  <c r="J16" i="13"/>
  <c r="J15" i="13"/>
  <c r="J14" i="13"/>
  <c r="G13" i="13"/>
  <c r="J13" i="13" s="1"/>
  <c r="G12" i="13"/>
  <c r="H12" i="13" s="1"/>
  <c r="I12" i="13" s="1"/>
  <c r="F11" i="13"/>
  <c r="J10" i="13"/>
  <c r="L92" i="12"/>
  <c r="L93" i="12" s="1"/>
  <c r="J29" i="12" s="1"/>
  <c r="J27" i="12" s="1"/>
  <c r="K92" i="12"/>
  <c r="J92" i="12"/>
  <c r="J93" i="12" s="1"/>
  <c r="H29" i="12" s="1"/>
  <c r="H27" i="12" s="1"/>
  <c r="L91" i="12"/>
  <c r="K91" i="12"/>
  <c r="K93" i="12" s="1"/>
  <c r="I29" i="12" s="1"/>
  <c r="I27" i="12" s="1"/>
  <c r="J91" i="12"/>
  <c r="I93" i="12"/>
  <c r="G29" i="12" s="1"/>
  <c r="K82"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7" i="12"/>
  <c r="K45" i="12"/>
  <c r="K44" i="12"/>
  <c r="K43" i="12"/>
  <c r="K42" i="12"/>
  <c r="K41" i="12"/>
  <c r="K40" i="12"/>
  <c r="K39" i="12"/>
  <c r="K38" i="12"/>
  <c r="K37" i="12"/>
  <c r="K36" i="12"/>
  <c r="K35" i="12"/>
  <c r="K34" i="12"/>
  <c r="K33" i="12"/>
  <c r="K32" i="12"/>
  <c r="K31" i="12"/>
  <c r="K30" i="12"/>
  <c r="K28" i="12"/>
  <c r="K26" i="12"/>
  <c r="K25" i="12"/>
  <c r="K24" i="12"/>
  <c r="K23" i="12"/>
  <c r="K21" i="12"/>
  <c r="K20" i="12"/>
  <c r="K18" i="12"/>
  <c r="J35" i="13" l="1"/>
  <c r="I12" i="14"/>
  <c r="J12" i="13"/>
  <c r="G11" i="13"/>
  <c r="K27" i="12"/>
  <c r="K29" i="12"/>
  <c r="I10" i="14" l="1"/>
  <c r="J11" i="13"/>
  <c r="K22" i="12" l="1"/>
  <c r="K19" i="12" l="1"/>
  <c r="B41" i="10" l="1"/>
  <c r="D7" i="11"/>
  <c r="E7" i="11" s="1"/>
  <c r="I81" i="2" l="1"/>
  <c r="I47" i="2"/>
  <c r="H32" i="4" s="1"/>
  <c r="H31" i="5" l="1"/>
  <c r="H31" i="10"/>
  <c r="I86" i="4"/>
  <c r="J79" i="10"/>
  <c r="H11" i="14" s="1"/>
  <c r="J71" i="10"/>
  <c r="J76" i="10" s="1"/>
  <c r="J65" i="10"/>
  <c r="J60" i="10"/>
  <c r="E43" i="10"/>
  <c r="G34" i="10"/>
  <c r="C34" i="10"/>
  <c r="I11" i="14" l="1"/>
  <c r="J79" i="5"/>
  <c r="F14" i="7" l="1"/>
  <c r="F13" i="7"/>
  <c r="E43" i="5"/>
  <c r="E50" i="4"/>
  <c r="J71" i="5"/>
  <c r="J76" i="5" s="1"/>
  <c r="J60" i="5"/>
  <c r="J65" i="5" s="1"/>
  <c r="I79" i="4"/>
  <c r="I84" i="4" s="1"/>
  <c r="I68" i="4"/>
  <c r="I73" i="4" s="1"/>
  <c r="I103" i="2"/>
  <c r="I108" i="2" s="1"/>
  <c r="I92" i="2"/>
  <c r="I97" i="2" s="1"/>
  <c r="I86" i="2"/>
  <c r="C34" i="5"/>
  <c r="G34" i="5"/>
  <c r="G35" i="4"/>
  <c r="H53" i="2"/>
  <c r="H52" i="2"/>
  <c r="H51" i="2"/>
  <c r="E51" i="2" l="1"/>
  <c r="I51" i="2" s="1"/>
  <c r="E52" i="2" l="1"/>
  <c r="I52" i="2" s="1"/>
  <c r="E53" i="2" l="1"/>
  <c r="I53" i="2" s="1"/>
  <c r="E62" i="2" l="1"/>
  <c r="I62" i="2" s="1"/>
  <c r="I68" i="2" s="1"/>
  <c r="E5" i="14" s="1"/>
  <c r="C4" i="4"/>
  <c r="B11" i="4" s="1"/>
  <c r="C11" i="4" l="1"/>
  <c r="D11" i="4" s="1"/>
  <c r="E11" i="4" s="1"/>
  <c r="F11" i="4" s="1"/>
  <c r="G11" i="4" s="1"/>
  <c r="H11" i="4" s="1"/>
  <c r="I11" i="4" s="1"/>
  <c r="J11" i="4" s="1"/>
  <c r="K11" i="4" s="1"/>
  <c r="L11" i="4" s="1"/>
  <c r="M11" i="4" s="1"/>
  <c r="E20" i="14"/>
  <c r="G8" i="14" l="1"/>
  <c r="F8" i="14"/>
  <c r="D35" i="4"/>
  <c r="H35" i="4" s="1"/>
  <c r="C4" i="5"/>
  <c r="B11" i="5" s="1"/>
  <c r="C11" i="5" s="1"/>
  <c r="D11" i="5" s="1"/>
  <c r="E11" i="5" s="1"/>
  <c r="F11" i="5" s="1"/>
  <c r="G11" i="5" s="1"/>
  <c r="H11" i="5" s="1"/>
  <c r="I11" i="5" s="1"/>
  <c r="J11" i="5" s="1"/>
  <c r="K11" i="5" s="1"/>
  <c r="L11" i="5" s="1"/>
  <c r="M11" i="5" s="1"/>
  <c r="D50" i="4"/>
  <c r="H50" i="4" s="1"/>
  <c r="H54" i="4" l="1"/>
  <c r="F5" i="14" s="1"/>
  <c r="F20" i="14" s="1"/>
  <c r="D34" i="5"/>
  <c r="H34" i="5" s="1"/>
  <c r="F30" i="14" l="1"/>
  <c r="F32" i="14" s="1"/>
  <c r="D43" i="5"/>
  <c r="C4" i="10"/>
  <c r="B11" i="10" s="1"/>
  <c r="H43" i="5" l="1"/>
  <c r="H47" i="5" s="1"/>
  <c r="G5" i="14" s="1"/>
  <c r="G20" i="14" s="1"/>
  <c r="C11" i="10"/>
  <c r="D11" i="10" s="1"/>
  <c r="E11" i="10" s="1"/>
  <c r="F11" i="10" s="1"/>
  <c r="G11" i="10" s="1"/>
  <c r="H11" i="10" s="1"/>
  <c r="I11" i="10" s="1"/>
  <c r="J11" i="10" s="1"/>
  <c r="K11" i="10" s="1"/>
  <c r="L11" i="10" s="1"/>
  <c r="M11" i="10" s="1"/>
  <c r="D43" i="10" s="1"/>
  <c r="H43" i="10" s="1"/>
  <c r="H8" i="14" l="1"/>
  <c r="I8" i="14"/>
  <c r="D34" i="10"/>
  <c r="G30" i="14"/>
  <c r="G32" i="14" s="1"/>
  <c r="F34" i="14"/>
  <c r="H34" i="10" l="1"/>
  <c r="H47" i="10" s="1"/>
  <c r="H5" i="14" s="1"/>
  <c r="G34" i="14"/>
  <c r="G23" i="13"/>
  <c r="D8" i="11"/>
  <c r="I5" i="14" l="1"/>
  <c r="H20" i="14"/>
  <c r="H30" i="14" s="1"/>
  <c r="H32" i="14" s="1"/>
  <c r="E8" i="11"/>
  <c r="H23" i="13"/>
  <c r="I20" i="14" l="1"/>
  <c r="H34" i="14" l="1"/>
  <c r="I23" i="13" l="1"/>
  <c r="F16" i="11"/>
  <c r="F19" i="11" l="1"/>
  <c r="F18" i="11"/>
  <c r="F20" i="11"/>
  <c r="F17" i="11"/>
  <c r="F21" i="11" l="1"/>
  <c r="F8" i="11" s="1"/>
  <c r="I22" i="14"/>
  <c r="E28" i="14"/>
  <c r="I28" i="14" s="1"/>
  <c r="E30" i="14" l="1"/>
  <c r="E32" i="14" s="1"/>
  <c r="E34" i="14" l="1"/>
  <c r="I30" i="14"/>
  <c r="C8" i="11" l="1"/>
  <c r="G27" i="11" s="1"/>
  <c r="F23" i="13"/>
  <c r="I34" i="14"/>
  <c r="I68" i="13"/>
  <c r="I63" i="13" s="1"/>
  <c r="F68" i="13"/>
  <c r="I32" i="14"/>
  <c r="H68" i="13"/>
  <c r="H63" i="13" s="1"/>
  <c r="G46" i="12"/>
  <c r="G17" i="12" s="1"/>
  <c r="G68" i="13"/>
  <c r="G63" i="13" s="1"/>
  <c r="F63" i="13" l="1"/>
  <c r="J63" i="13" s="1"/>
  <c r="J68" i="13"/>
  <c r="H46" i="12"/>
  <c r="G30" i="11"/>
  <c r="F9" i="13"/>
  <c r="J23" i="13"/>
  <c r="G20" i="13"/>
  <c r="G21" i="13"/>
  <c r="F5" i="15" l="1"/>
  <c r="J5" i="15"/>
  <c r="D5" i="15"/>
  <c r="G5" i="15"/>
  <c r="K5" i="15"/>
  <c r="E5" i="15"/>
  <c r="H5" i="15"/>
  <c r="L5" i="15"/>
  <c r="I5" i="15"/>
  <c r="M5" i="15"/>
  <c r="G8" i="15"/>
  <c r="L8" i="15"/>
  <c r="F8" i="15"/>
  <c r="H8" i="15"/>
  <c r="J8" i="15"/>
  <c r="E8" i="15"/>
  <c r="I8" i="15"/>
  <c r="K8" i="15"/>
  <c r="D8" i="15"/>
  <c r="M8" i="15"/>
  <c r="E15" i="15"/>
  <c r="F15" i="15"/>
  <c r="J15" i="15"/>
  <c r="K15" i="15"/>
  <c r="G15" i="15"/>
  <c r="D15" i="15"/>
  <c r="H15" i="15"/>
  <c r="L15" i="15"/>
  <c r="I15" i="15"/>
  <c r="M15" i="15"/>
  <c r="D14" i="15"/>
  <c r="L14" i="15"/>
  <c r="F14" i="15"/>
  <c r="E14" i="15"/>
  <c r="H14" i="15"/>
  <c r="J14" i="15"/>
  <c r="K14" i="15"/>
  <c r="M14" i="15"/>
  <c r="G14" i="15"/>
  <c r="I14" i="15"/>
  <c r="E3" i="15"/>
  <c r="H3" i="15"/>
  <c r="M3" i="15"/>
  <c r="K3" i="15"/>
  <c r="D3" i="15"/>
  <c r="I3" i="15"/>
  <c r="F3" i="15"/>
  <c r="G3" i="15"/>
  <c r="J3" i="15"/>
  <c r="L3" i="15"/>
  <c r="D20" i="15"/>
  <c r="J20" i="15"/>
  <c r="G20" i="15"/>
  <c r="K20" i="15"/>
  <c r="L20" i="15"/>
  <c r="H20" i="15"/>
  <c r="I20" i="15"/>
  <c r="M20" i="15"/>
  <c r="E20" i="15"/>
  <c r="F20" i="15"/>
  <c r="F4" i="15"/>
  <c r="D4" i="15"/>
  <c r="G4" i="15"/>
  <c r="J4" i="15"/>
  <c r="E4" i="15"/>
  <c r="L4" i="15"/>
  <c r="I4" i="15"/>
  <c r="K4" i="15"/>
  <c r="M4" i="15"/>
  <c r="H4" i="15"/>
  <c r="D11" i="15"/>
  <c r="F11" i="15"/>
  <c r="J11" i="15"/>
  <c r="G11" i="15"/>
  <c r="K11" i="15"/>
  <c r="H11" i="15"/>
  <c r="L11" i="15"/>
  <c r="I11" i="15"/>
  <c r="M11" i="15"/>
  <c r="E11" i="15"/>
  <c r="L10" i="15"/>
  <c r="D10" i="15"/>
  <c r="F10" i="15"/>
  <c r="E10" i="15"/>
  <c r="H10" i="15"/>
  <c r="J10" i="15"/>
  <c r="G10" i="15"/>
  <c r="M10" i="15"/>
  <c r="K10" i="15"/>
  <c r="I10" i="15"/>
  <c r="D17" i="15"/>
  <c r="F17" i="15"/>
  <c r="G17" i="15"/>
  <c r="K17" i="15"/>
  <c r="L17" i="15"/>
  <c r="E17" i="15"/>
  <c r="H17" i="15"/>
  <c r="I17" i="15"/>
  <c r="M17" i="15"/>
  <c r="J17" i="15"/>
  <c r="D16" i="15"/>
  <c r="L16" i="15"/>
  <c r="F16" i="15"/>
  <c r="J16" i="15"/>
  <c r="K16" i="15"/>
  <c r="G16" i="15"/>
  <c r="H16" i="15"/>
  <c r="M16" i="15"/>
  <c r="E16" i="15"/>
  <c r="I16" i="15"/>
  <c r="G21" i="15"/>
  <c r="J21" i="15"/>
  <c r="E21" i="15"/>
  <c r="F21" i="15"/>
  <c r="I21" i="15"/>
  <c r="K21" i="15"/>
  <c r="D21" i="15"/>
  <c r="L21" i="15"/>
  <c r="M21" i="15"/>
  <c r="H21" i="15"/>
  <c r="E7" i="15"/>
  <c r="F7" i="15"/>
  <c r="J7" i="15"/>
  <c r="G7" i="15"/>
  <c r="K7" i="15"/>
  <c r="D7" i="15"/>
  <c r="H7" i="15"/>
  <c r="L7" i="15"/>
  <c r="I7" i="15"/>
  <c r="M7" i="15"/>
  <c r="D6" i="15"/>
  <c r="L6" i="15"/>
  <c r="F6" i="15"/>
  <c r="E6" i="15"/>
  <c r="H6" i="15"/>
  <c r="J6" i="15"/>
  <c r="M6" i="15"/>
  <c r="G6" i="15"/>
  <c r="I6" i="15"/>
  <c r="K6" i="15"/>
  <c r="F9" i="15"/>
  <c r="J9" i="15"/>
  <c r="G9" i="15"/>
  <c r="K9" i="15"/>
  <c r="H9" i="15"/>
  <c r="L9" i="15"/>
  <c r="D9" i="15"/>
  <c r="I9" i="15"/>
  <c r="M9" i="15"/>
  <c r="E9" i="15"/>
  <c r="G12" i="15"/>
  <c r="L12" i="15"/>
  <c r="F12" i="15"/>
  <c r="H12" i="15"/>
  <c r="J12" i="15"/>
  <c r="E12" i="15"/>
  <c r="I12" i="15"/>
  <c r="D12" i="15"/>
  <c r="K12" i="15"/>
  <c r="M12" i="15"/>
  <c r="F19" i="15"/>
  <c r="D19" i="15"/>
  <c r="G19" i="15"/>
  <c r="K19" i="15"/>
  <c r="L19" i="15"/>
  <c r="H19" i="15"/>
  <c r="I19" i="15"/>
  <c r="M19" i="15"/>
  <c r="J19" i="15"/>
  <c r="E19" i="15"/>
  <c r="D18" i="15"/>
  <c r="F18" i="15"/>
  <c r="G18" i="15"/>
  <c r="K18" i="15"/>
  <c r="E18" i="15"/>
  <c r="L18" i="15"/>
  <c r="H18" i="15"/>
  <c r="I18" i="15"/>
  <c r="M18" i="15"/>
  <c r="J18" i="15"/>
  <c r="F13" i="15"/>
  <c r="J13" i="15"/>
  <c r="G13" i="15"/>
  <c r="D13" i="15"/>
  <c r="K13" i="15"/>
  <c r="E13" i="15"/>
  <c r="H13" i="15"/>
  <c r="L13" i="15"/>
  <c r="I13" i="15"/>
  <c r="M13" i="15"/>
  <c r="G19" i="13"/>
  <c r="H17" i="12"/>
  <c r="I46" i="12"/>
  <c r="G4" i="12"/>
  <c r="F8" i="13"/>
  <c r="J46" i="12" l="1"/>
  <c r="J17" i="12" s="1"/>
  <c r="I17" i="12"/>
  <c r="G5" i="12"/>
  <c r="G6" i="12" s="1"/>
  <c r="H4" i="12"/>
  <c r="H21" i="13"/>
  <c r="G9" i="13"/>
  <c r="H20" i="13"/>
  <c r="G11" i="12" l="1"/>
  <c r="F58" i="13" s="1"/>
  <c r="G9" i="12"/>
  <c r="G80" i="12" s="1"/>
  <c r="G8" i="13"/>
  <c r="H19" i="13"/>
  <c r="K46" i="12"/>
  <c r="I4" i="12"/>
  <c r="K17" i="12"/>
  <c r="J4" i="12"/>
  <c r="G10" i="12" l="1"/>
  <c r="G81" i="12" s="1"/>
  <c r="G79" i="12" s="1"/>
  <c r="H5" i="12"/>
  <c r="H6" i="12" s="1"/>
  <c r="F56" i="13"/>
  <c r="I20" i="13"/>
  <c r="J20" i="13" s="1"/>
  <c r="H9" i="13"/>
  <c r="I21" i="13"/>
  <c r="F52" i="13" l="1"/>
  <c r="I19" i="13"/>
  <c r="J21" i="13"/>
  <c r="G48" i="12"/>
  <c r="H8" i="13"/>
  <c r="H11" i="12"/>
  <c r="G58" i="13" s="1"/>
  <c r="H9" i="12"/>
  <c r="H80" i="12" s="1"/>
  <c r="H10" i="12" l="1"/>
  <c r="H81" i="12" s="1"/>
  <c r="H79" i="12" s="1"/>
  <c r="G56" i="13"/>
  <c r="G83" i="12"/>
  <c r="I5" i="12"/>
  <c r="I6" i="12" s="1"/>
  <c r="I9" i="13"/>
  <c r="J19" i="13"/>
  <c r="F73" i="13"/>
  <c r="H48" i="12" l="1"/>
  <c r="G13" i="12"/>
  <c r="G14" i="12" s="1"/>
  <c r="I8" i="13"/>
  <c r="J9" i="13"/>
  <c r="G52" i="13"/>
  <c r="I11" i="12"/>
  <c r="H58" i="13" s="1"/>
  <c r="I9" i="12"/>
  <c r="I80" i="12" s="1"/>
  <c r="I10" i="12" l="1"/>
  <c r="I81" i="12" s="1"/>
  <c r="I79" i="12" s="1"/>
  <c r="J5" i="12"/>
  <c r="J6" i="12" s="1"/>
  <c r="J8" i="13"/>
  <c r="H83" i="12"/>
  <c r="G73" i="13"/>
  <c r="H56" i="13"/>
  <c r="H52" i="13" l="1"/>
  <c r="H13" i="12"/>
  <c r="H14" i="12" s="1"/>
  <c r="I48" i="12"/>
  <c r="J11" i="12"/>
  <c r="I58" i="13" s="1"/>
  <c r="J9" i="12"/>
  <c r="J80" i="12" s="1"/>
  <c r="I56" i="13" l="1"/>
  <c r="J58" i="13"/>
  <c r="H73" i="13"/>
  <c r="J10" i="12"/>
  <c r="J81" i="12" s="1"/>
  <c r="K81" i="12" s="1"/>
  <c r="K80" i="12"/>
  <c r="I83" i="12"/>
  <c r="I52" i="13" l="1"/>
  <c r="J56" i="13"/>
  <c r="I13" i="12"/>
  <c r="I14" i="12" s="1"/>
  <c r="J79" i="12"/>
  <c r="J48" i="12" l="1"/>
  <c r="K79" i="12"/>
  <c r="I73" i="13"/>
  <c r="J73" i="13" s="1"/>
  <c r="J52" i="13"/>
  <c r="J83" i="12" l="1"/>
  <c r="K48" i="12"/>
  <c r="J13" i="12" l="1"/>
  <c r="J14" i="12" s="1"/>
  <c r="K83" i="12"/>
</calcChain>
</file>

<file path=xl/comments1.xml><?xml version="1.0" encoding="utf-8"?>
<comments xmlns="http://schemas.openxmlformats.org/spreadsheetml/2006/main">
  <authors>
    <author>Author</author>
  </authors>
  <commentList>
    <comment ref="D12" authorId="0">
      <text>
        <r>
          <rPr>
            <sz val="10"/>
            <color indexed="81"/>
            <rFont val="Tahoma"/>
            <family val="2"/>
          </rPr>
          <t>Los datos, tanto de precio como de audiencia, se han calculado en función de medios que podrían atacar a nuestro segmento de mercado (Revistas "Muy interesante" y "National Geographic").
Información en el siguiente enlace: hhahttp://www.oblicua.es/publicidad/publicidad-revistas.htm</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 authorId="0">
      <text>
        <r>
          <rPr>
            <sz val="9"/>
            <color indexed="81"/>
            <rFont val="Tahoma"/>
            <family val="2"/>
          </rPr>
          <t>Desde luego, no consideramos que las probabilidades de éxito sean, ni mucho menos, tan reducidas. Es una estimación basada en el sector y siguiendo un criterio de extrema prudencia</t>
        </r>
      </text>
    </comment>
    <comment ref="C4" authorId="0">
      <text>
        <r>
          <rPr>
            <sz val="9"/>
            <color indexed="81"/>
            <rFont val="Tahoma"/>
            <charset val="1"/>
          </rPr>
          <t>Bono español a 10 años (a 14/04/2015).</t>
        </r>
      </text>
    </comment>
    <comment ref="F7" authorId="0">
      <text>
        <r>
          <rPr>
            <sz val="9"/>
            <color indexed="81"/>
            <rFont val="Tahoma"/>
            <family val="2"/>
          </rPr>
          <t xml:space="preserve">Por criterio de prudencia, consideramos como ingresos desde 2020 hasta 2023 los ingresos calculados para el ejercicio 2019. Consideramos que no existen beneficios más allá de dicho horizonte temporal, ante la dificultad sabida de realizar estimaciones a tan largo plazo en un sector tan dinámico.
</t>
        </r>
      </text>
    </comment>
    <comment ref="G30" authorId="0">
      <text>
        <r>
          <rPr>
            <sz val="9"/>
            <color indexed="81"/>
            <rFont val="Tahoma"/>
            <family val="2"/>
          </rPr>
          <t xml:space="preserve">Es unidireccional: solamente se tiene en cuenta la probabilidad de fracaso en caso de Valoración mayor a cero. En caso contrario, se toma la valoración negativa sin aplicar reducción. Todo ello, en base a criterio de prudencia.
</t>
        </r>
      </text>
    </comment>
  </commentList>
</comments>
</file>

<file path=xl/comments3.xml><?xml version="1.0" encoding="utf-8"?>
<comments xmlns="http://schemas.openxmlformats.org/spreadsheetml/2006/main">
  <authors>
    <author>Author</author>
  </authors>
  <commentList>
    <comment ref="L15" authorId="0">
      <text>
        <r>
          <rPr>
            <sz val="9"/>
            <color indexed="81"/>
            <rFont val="Tahoma"/>
            <family val="2"/>
          </rPr>
          <t xml:space="preserve">Tal y como se puede observar en "Cálculo valoración empresa", nuestra estimación se corresponde con esta posición (recalcando que un 98% como probabilidad de fracaso es una estimación altamente prudente)
</t>
        </r>
      </text>
    </comment>
  </commentList>
</comments>
</file>

<file path=xl/comments4.xml><?xml version="1.0" encoding="utf-8"?>
<comments xmlns="http://schemas.openxmlformats.org/spreadsheetml/2006/main">
  <authors>
    <author>Author</author>
  </authors>
  <commentList>
    <comment ref="I47" authorId="0">
      <text>
        <r>
          <rPr>
            <sz val="9"/>
            <color indexed="81"/>
            <rFont val="Tahoma"/>
            <family val="2"/>
          </rPr>
          <t xml:space="preserve">Tipo impositivo medio en Europa.
</t>
        </r>
      </text>
    </comment>
    <comment ref="E50" authorId="0">
      <text>
        <r>
          <rPr>
            <sz val="9"/>
            <color indexed="81"/>
            <rFont val="Tahoma"/>
            <family val="2"/>
          </rPr>
          <t xml:space="preserve">Descontamos siempre los usuarios habidos hasta el mes anterior, pues, entendemos, estos han disfrutado ya de su periodo vacacional (suponemos que el usuario se da de alta en su mes de veraneo). Es un criterio de prudencia en el cálculo, que tiende a infraestimar los ingresos.
</t>
        </r>
      </text>
    </comment>
    <comment ref="F62" authorId="0">
      <text>
        <r>
          <rPr>
            <sz val="9"/>
            <color indexed="81"/>
            <rFont val="Tahoma"/>
            <family val="2"/>
          </rPr>
          <t xml:space="preserve">Para calcular dicho valor, se ha empleado un herramienta elaborada por el Financial Times, que permite obtener un valor aproximado del valor de paquetes de datos de usuarios. El precio que las empresas pagan por adquirir datos es inferior al precio que pagan por obtener espacio publicitario. Sin embargo, por la dificultaad de obtener un precio razonable y fiable para una aplicación, y por prudencia, hemos considerado el propio precio de datos como precio de publicidad.
Entre toda la información posible, solamente hemos considerado parte de la información demográfica, junto con otra de la que sí conseguiríamos datos (como frecuencia y destinos de viaje, tipo de comida preferida, etc.).
El link de la herramienta es el siguiente:
http://www.ft.com/intl/cms/s/2/927ca86e-d29b-11e2-88ed-00144feab7de.html#axzz2ePHWXB3K
</t>
        </r>
        <r>
          <rPr>
            <b/>
            <sz val="9"/>
            <color indexed="81"/>
            <rFont val="Tahoma"/>
            <family val="2"/>
          </rPr>
          <t xml:space="preserve">
Por criterio de prudencia, hemos dividido el factor entre 5.</t>
        </r>
      </text>
    </comment>
    <comment ref="I68" authorId="0">
      <text>
        <r>
          <rPr>
            <sz val="9"/>
            <color indexed="81"/>
            <rFont val="Tahoma"/>
            <family val="2"/>
          </rPr>
          <t>Ver Cuenta de P&amp;G del Plan de negocio.</t>
        </r>
      </text>
    </comment>
  </commentList>
</comments>
</file>

<file path=xl/comments5.xml><?xml version="1.0" encoding="utf-8"?>
<comments xmlns="http://schemas.openxmlformats.org/spreadsheetml/2006/main">
  <authors>
    <author>Author</author>
  </authors>
  <commentList>
    <comment ref="D35" authorId="0">
      <text>
        <r>
          <rPr>
            <sz val="9"/>
            <color indexed="81"/>
            <rFont val="Tahoma"/>
            <family val="2"/>
          </rPr>
          <t xml:space="preserve">La fórmula se modifica respecto a la del año previo. En este caso, puesto que ha transcurrido todo un año, se repite el ciclo y comienza nuevo periodo vacacional. 
Por ello, en este caso, es suficiente, para calcular los ingresos, con tomar como base el número de usuarios finalizado agosto.
</t>
        </r>
      </text>
    </comment>
    <comment ref="E35" authorId="0">
      <text>
        <r>
          <rPr>
            <sz val="9"/>
            <color indexed="81"/>
            <rFont val="Tahoma"/>
            <family val="2"/>
          </rPr>
          <t>El porcentaje de usuarios vivos es de 10 puntos porcentuales superior al del año previo. Con ello, se intenta tener en cuenta el efecto que produce sobre la calidad del servicio el que aumente el número de usuarios (ya que los contenidos se multiplican por colaboraciones voluntarias).</t>
        </r>
      </text>
    </comment>
    <comment ref="H54" authorId="0">
      <text>
        <r>
          <rPr>
            <sz val="9"/>
            <color indexed="81"/>
            <rFont val="Tahoma"/>
            <family val="2"/>
          </rPr>
          <t>Ver Cuenta de P&amp;G del Plan de negocio</t>
        </r>
        <r>
          <rPr>
            <b/>
            <sz val="9"/>
            <color indexed="81"/>
            <rFont val="Tahoma"/>
            <family val="2"/>
          </rPr>
          <t>.</t>
        </r>
        <r>
          <rPr>
            <sz val="9"/>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E34" authorId="0">
      <text>
        <r>
          <rPr>
            <sz val="9"/>
            <color indexed="81"/>
            <rFont val="Tahoma"/>
            <family val="2"/>
          </rPr>
          <t>El porcentaje de usuarios vivos es de 10 puntos porcentuales superior al del año previo. Con ello, se intenta tener en cuenta el efecto que produce sobre la calidad del servicio el que aumente el número de usuarios (ya que los contenidos se multiplican por colaboraciones voluntarias).</t>
        </r>
      </text>
    </comment>
    <comment ref="H47" authorId="0">
      <text>
        <r>
          <rPr>
            <sz val="9"/>
            <color indexed="81"/>
            <rFont val="Tahoma"/>
            <family val="2"/>
          </rPr>
          <t xml:space="preserve">Ver Cuenta de P&amp;G del Plan de negocio.
</t>
        </r>
      </text>
    </comment>
  </commentList>
</comments>
</file>

<file path=xl/comments7.xml><?xml version="1.0" encoding="utf-8"?>
<comments xmlns="http://schemas.openxmlformats.org/spreadsheetml/2006/main">
  <authors>
    <author>Author</author>
  </authors>
  <commentList>
    <comment ref="E34" authorId="0">
      <text>
        <r>
          <rPr>
            <sz val="9"/>
            <color indexed="81"/>
            <rFont val="Tahoma"/>
            <family val="2"/>
          </rPr>
          <t>El porcentaje de usuarios vivos es de 10 puntos porcentuales superior al del año previo. Con ello, se intenta tener en cuenta el efecto que produce sobre la calidad del servicio el que aumente el número de usuarios (ya que los contenidos se multiplican por colaboraciones voluntarias).</t>
        </r>
      </text>
    </comment>
    <comment ref="H47" authorId="0">
      <text>
        <r>
          <rPr>
            <sz val="9"/>
            <color indexed="81"/>
            <rFont val="Tahoma"/>
            <family val="2"/>
          </rPr>
          <t xml:space="preserve">Ver Cuenta de P&amp;G del Plan de negocio.
</t>
        </r>
      </text>
    </comment>
  </commentList>
</comments>
</file>

<file path=xl/comments8.xml><?xml version="1.0" encoding="utf-8"?>
<comments xmlns="http://schemas.openxmlformats.org/spreadsheetml/2006/main">
  <authors>
    <author>Author</author>
  </authors>
  <commentList>
    <comment ref="E91" authorId="0">
      <text>
        <r>
          <rPr>
            <sz val="9"/>
            <color indexed="81"/>
            <rFont val="Tahoma"/>
            <family val="2"/>
          </rPr>
          <t>Necesario para derrollar la aplicación en el sistema operativo IOS.</t>
        </r>
        <r>
          <rPr>
            <sz val="9"/>
            <color indexed="81"/>
            <rFont val="Tahoma"/>
            <charset val="1"/>
          </rPr>
          <t xml:space="preserve">
</t>
        </r>
      </text>
    </comment>
    <comment ref="E101" authorId="0">
      <text>
        <r>
          <rPr>
            <sz val="9"/>
            <color indexed="81"/>
            <rFont val="Tahoma"/>
            <family val="2"/>
          </rPr>
          <t>Patente del nombre comercial.</t>
        </r>
      </text>
    </comment>
  </commentList>
</comments>
</file>

<file path=xl/comments9.xml><?xml version="1.0" encoding="utf-8"?>
<comments xmlns="http://schemas.openxmlformats.org/spreadsheetml/2006/main">
  <authors>
    <author>Author</author>
  </authors>
  <commentList>
    <comment ref="C8" authorId="0">
      <text>
        <r>
          <rPr>
            <sz val="9"/>
            <color indexed="81"/>
            <rFont val="Tahoma"/>
            <family val="2"/>
          </rPr>
          <t>Coste del servidor. Calculado en función del número de usuarios.</t>
        </r>
        <r>
          <rPr>
            <sz val="9"/>
            <color indexed="81"/>
            <rFont val="Tahoma"/>
            <charset val="1"/>
          </rPr>
          <t xml:space="preserve">
</t>
        </r>
      </text>
    </comment>
    <comment ref="D39" authorId="0">
      <text>
        <r>
          <rPr>
            <sz val="9"/>
            <color indexed="81"/>
            <rFont val="Tahoma"/>
            <family val="2"/>
          </rPr>
          <t>Socios fundadores del equipo, que se establecerían como socios capitalistas y trabajarían bajo el Régimen Especial de Trabajadores autónomos, no percibiendo remuneración salarial y suponiendo como único gasto la cotización social.</t>
        </r>
      </text>
    </comment>
  </commentList>
</comments>
</file>

<file path=xl/sharedStrings.xml><?xml version="1.0" encoding="utf-8"?>
<sst xmlns="http://schemas.openxmlformats.org/spreadsheetml/2006/main" count="371" uniqueCount="233">
  <si>
    <t>Población inicial</t>
  </si>
  <si>
    <t>Coeficiente viralidad</t>
  </si>
  <si>
    <t>% usuarios vivos</t>
  </si>
  <si>
    <t>% usuarios de pago</t>
  </si>
  <si>
    <t>efecto grupo</t>
  </si>
  <si>
    <t>Campaña marketing en medios escritos.</t>
  </si>
  <si>
    <t>Campaña marketing en calle.</t>
  </si>
  <si>
    <t>Ingresos</t>
  </si>
  <si>
    <t>nº usuarios</t>
  </si>
  <si>
    <t>momento</t>
  </si>
  <si>
    <t>(1)</t>
  </si>
  <si>
    <t>(2)</t>
  </si>
  <si>
    <t>(3)</t>
  </si>
  <si>
    <t>Número de usuarios que, en un momento concreto de tiempo, continúa utilizando la aplicación.</t>
  </si>
  <si>
    <t>Porcentaje de usuarios que, siendo usuarios vivos, pagan por utilizar la aplicación.</t>
  </si>
  <si>
    <t>Corrector sobre el total. Tiene en cuenta el efecto que produce el que los usuarios viajen en grupo: es suficiente con que una sola persona pague por la aplicación para que todo el grupo la disfrute. A estos efectos, consideramos que un grupo medio está formado por 3,5 personas ((1/3,5)*100 = 29%).</t>
  </si>
  <si>
    <t>% éxito</t>
  </si>
  <si>
    <t xml:space="preserve">Ciudades a cubrir por la campaña </t>
  </si>
  <si>
    <t>Personas en cada ciudad</t>
  </si>
  <si>
    <t>Días/mes</t>
  </si>
  <si>
    <t>Total personas</t>
  </si>
  <si>
    <t>Personas/(hora/empleado)</t>
  </si>
  <si>
    <t>Horas/día</t>
  </si>
  <si>
    <t>julio</t>
  </si>
  <si>
    <t>junio</t>
  </si>
  <si>
    <t>agosto</t>
  </si>
  <si>
    <t>Ingresos usuarios Premium</t>
  </si>
  <si>
    <t>Valor aproximado datos usuario</t>
  </si>
  <si>
    <t>Ingresos totales</t>
  </si>
  <si>
    <t>nº usuarios a 31.12.16</t>
  </si>
  <si>
    <t>nº usuarios a 31.12.17</t>
  </si>
  <si>
    <t>Revista escrita</t>
  </si>
  <si>
    <t>Precio aproximado del medio</t>
  </si>
  <si>
    <t>Audiencia</t>
  </si>
  <si>
    <t>Porcentaje de éxito necesario para rentabilizar la inversión</t>
  </si>
  <si>
    <t>Google Adwords</t>
  </si>
  <si>
    <t>(no aplica)</t>
  </si>
  <si>
    <r>
      <t xml:space="preserve">El porcentaje es razonable. </t>
    </r>
    <r>
      <rPr>
        <b/>
        <sz val="11"/>
        <color rgb="FF00B050"/>
        <rFont val="Calibri"/>
        <family val="2"/>
        <scheme val="minor"/>
      </rPr>
      <t>Se considera adecuada la inversión</t>
    </r>
    <r>
      <rPr>
        <sz val="11"/>
        <color theme="1"/>
        <rFont val="Calibri"/>
        <family val="2"/>
        <scheme val="minor"/>
      </rPr>
      <t>.</t>
    </r>
  </si>
  <si>
    <t>En cuanto a la campaña de marketing en calle, esta consiste en contratar personal para que, durante los meses señalados (generalmente, julio y agosto), busquen posibles usuarios a pie de calle, explicándoles brevemente en qué consiste la aplicación, e invitándoles a que la utilicen gratuítamente. Esta campaña se analiza de manera individualizada para cada periodo, y supondría un coste de aproximadamente 900 euros/trabajador.</t>
  </si>
  <si>
    <t>Puesto que la principal limitación de la empresa es la demanda (es decir, no existen impedimentos, a priori, para satisfacer dicha demanda; el problema radica precisamente en obtenerla), el plan financiero pivota inevitablemente sobre el número de usuarios del servicio en cada momento de tiempo. Por ello, se ha tratado de estimar cómo evolucionaría el número de users de acuerdo a las campañas de marketing diseñadas.</t>
  </si>
  <si>
    <r>
      <t xml:space="preserve">Aún considerando un precio por click de solamente 0,5 €/click en Google Adwords (precio quizás demasiado optimista), debido al bajo precio de nuestro producto, necesitaríamos que 1 de cada 2 personas que clicasen se materializaran en clientes Premium. Por tanto, </t>
    </r>
    <r>
      <rPr>
        <b/>
        <sz val="11"/>
        <color rgb="FFFF0000"/>
        <rFont val="Calibri"/>
        <family val="2"/>
        <scheme val="minor"/>
      </rPr>
      <t>no se considera adecuada la inversión.</t>
    </r>
  </si>
  <si>
    <t>Personas captadas/(hora/empleado)</t>
  </si>
  <si>
    <t>Gasto personal marketing a 8 €/hora</t>
  </si>
  <si>
    <t>Precio sin IVA</t>
  </si>
  <si>
    <t>Precio con IVA</t>
  </si>
  <si>
    <t>Tasa de interés (i)</t>
  </si>
  <si>
    <t>Beneficio/pérdida</t>
  </si>
  <si>
    <t>Año</t>
  </si>
  <si>
    <t>Suponiendo una probabilidad de fracaso del 98%</t>
  </si>
  <si>
    <t xml:space="preserve">210 días / 6 = 40 ciudades europeas tamaño medio-grande. </t>
  </si>
  <si>
    <t>nº usuarios a 31.12.18</t>
  </si>
  <si>
    <t>nº usuarios a 31.12.19</t>
  </si>
  <si>
    <t>Valoración a 31.12.2015 (Valor Actual)</t>
  </si>
  <si>
    <r>
      <rPr>
        <b/>
        <sz val="11"/>
        <color theme="1"/>
        <rFont val="Calibri"/>
        <family val="2"/>
        <scheme val="minor"/>
      </rPr>
      <t xml:space="preserve">Explicación del trabajo realizado: </t>
    </r>
    <r>
      <rPr>
        <sz val="11"/>
        <color theme="1"/>
        <rFont val="Calibri"/>
        <family val="2"/>
        <scheme val="minor"/>
      </rPr>
      <t>se ha elaborado un plan financiero a 4 años (por practicidad, el primer año cubre desde desde Junio 2015 hasta Diciembre 2016).</t>
    </r>
    <r>
      <rPr>
        <b/>
        <sz val="11"/>
        <color theme="1"/>
        <rFont val="Calibri"/>
        <family val="2"/>
        <scheme val="minor"/>
      </rPr>
      <t xml:space="preserve"> </t>
    </r>
  </si>
  <si>
    <t>Hasta septiembre 2015, el equipo se centaría integramente en el desarrollo de la aplicación. Una vez en condiciones óptimas de funcionamiento, comenzaría una segunda fase, durante la cual el trabajo se centraría en subir contenidos a la aplicación. Hasta verano del 2016, se contaria con 210 días, lo que, a 6 días de trabajo por ciudad, permitiría llegar a dicha fecha con los suficientes contenidos disponibles como para permitir encarar la temporada de verano con una campaña de márketing más intensa. (En realidad, probablemente resultaría más provechoso centrarse en un menor número de ciudades y hacerlo más a fondo, pero los números son aproximados).</t>
  </si>
  <si>
    <t>Ingresos publicidad</t>
  </si>
  <si>
    <t>ACTIVO</t>
  </si>
  <si>
    <t>Notas</t>
  </si>
  <si>
    <t>Filtro</t>
  </si>
  <si>
    <t>1. Desarrollo</t>
  </si>
  <si>
    <t>2. Concesiones</t>
  </si>
  <si>
    <t>4. Fondo de comercio</t>
  </si>
  <si>
    <t>5. Aplicaciones informáticas</t>
  </si>
  <si>
    <t>6. Otro inmovilizado intangible</t>
  </si>
  <si>
    <t>7. Investigación</t>
  </si>
  <si>
    <t>II. Inmovilizado material</t>
  </si>
  <si>
    <t>1. Terrenos y construcciones</t>
  </si>
  <si>
    <t>3. Inmovilizado en curso y anticipos</t>
  </si>
  <si>
    <t>III. Inversiones inmobiliarias</t>
  </si>
  <si>
    <t>1. Terrenos</t>
  </si>
  <si>
    <t>2. Construcciones</t>
  </si>
  <si>
    <t>IV. Inversiones en empresas del grupo y asociadas a L/P</t>
  </si>
  <si>
    <t>1. Instrumentos de patrimonio</t>
  </si>
  <si>
    <t>2. Créditos a empresas</t>
  </si>
  <si>
    <t>3. Valores representativos de deuda</t>
  </si>
  <si>
    <t>4. Derivados</t>
  </si>
  <si>
    <t>5. Otros activos financieros</t>
  </si>
  <si>
    <t>V. Inversiones financieras a L/P</t>
  </si>
  <si>
    <t>2. Créditos a terceros</t>
  </si>
  <si>
    <t>I. Activos no corrientes mantenidos para la venta</t>
  </si>
  <si>
    <t>II. Existencias</t>
  </si>
  <si>
    <t>1. Comerciales</t>
  </si>
  <si>
    <t>2. Materias primas y otros aprovisionamientos</t>
  </si>
  <si>
    <t>3. Productos en curso</t>
  </si>
  <si>
    <t>4. Productos terminados</t>
  </si>
  <si>
    <t>5. Subproductos, residuos y materiales recuperados</t>
  </si>
  <si>
    <t>6. Anticipos a proveedores</t>
  </si>
  <si>
    <t>III. Deudores comerciales y otras cuentas a cobrar</t>
  </si>
  <si>
    <t>1. Clientes por ventas y prestaciones de servicios</t>
  </si>
  <si>
    <t>2. Clientes, empresas del grupo y asociadas</t>
  </si>
  <si>
    <t>3. Deudores varios</t>
  </si>
  <si>
    <t>4. Personal</t>
  </si>
  <si>
    <t>5. Activos por impuesto corriente</t>
  </si>
  <si>
    <t>6. Otros créditos con las Administraciones Públicas</t>
  </si>
  <si>
    <t>7. Accionistas (socios) por desembolsos exigidos</t>
  </si>
  <si>
    <t>IV. Inversiones en empresas del grupo y asociadas a C/P</t>
  </si>
  <si>
    <t>V. Inversiones financieras a C/P</t>
  </si>
  <si>
    <t>VI. Periodificaciones a corto plazo</t>
  </si>
  <si>
    <t>1. Tesorería</t>
  </si>
  <si>
    <t>TOTAL ACTIVO</t>
  </si>
  <si>
    <t>Ordenadores</t>
  </si>
  <si>
    <t>Coste</t>
  </si>
  <si>
    <t>Número</t>
  </si>
  <si>
    <t>% amortización</t>
  </si>
  <si>
    <t>31.12.2016</t>
  </si>
  <si>
    <t>31.12.2017</t>
  </si>
  <si>
    <t>31.12.2018</t>
  </si>
  <si>
    <t>31.12.2019</t>
  </si>
  <si>
    <t>Ordenador Mac</t>
  </si>
  <si>
    <t>Ordenador Windows</t>
  </si>
  <si>
    <t>PASIVO</t>
  </si>
  <si>
    <t>A) PATRIMONIO NETO</t>
  </si>
  <si>
    <t>A-1) Fondos Propios</t>
  </si>
  <si>
    <t>I. Capital</t>
  </si>
  <si>
    <t>1. Capital escriturado</t>
  </si>
  <si>
    <t>2. (Capital no exigido)</t>
  </si>
  <si>
    <t>II. Prima de emisión</t>
  </si>
  <si>
    <t>III. Reservas</t>
  </si>
  <si>
    <t>1. Legal y estatutarias</t>
  </si>
  <si>
    <t>2. Otras reservas</t>
  </si>
  <si>
    <t>IV. (Acciones y participaciones en patrimonio propias)</t>
  </si>
  <si>
    <t>1. Remanente</t>
  </si>
  <si>
    <t>VI. Otras aportaciones de socios</t>
  </si>
  <si>
    <t>VIII. Dividendo a cuenta</t>
  </si>
  <si>
    <t>IX. Otros instrumentos de patrimonio neto</t>
  </si>
  <si>
    <t>A-2) Ajustes por cambios de valor</t>
  </si>
  <si>
    <t>I. Activos financieros disponibles para la venta</t>
  </si>
  <si>
    <t>II. Operaciones de cobertura</t>
  </si>
  <si>
    <t>III. Otros</t>
  </si>
  <si>
    <t>A-3) Subvenciones, donaciones y legados recibidos</t>
  </si>
  <si>
    <t>B) PASIVO NO CORRIENTE</t>
  </si>
  <si>
    <t>I. Provisiones a largo plazo</t>
  </si>
  <si>
    <t>1. Obligaciones por prestaciones a L/P al personal</t>
  </si>
  <si>
    <t>2. Actuaciones medioambientales</t>
  </si>
  <si>
    <t>3. Provisiones por reestructuración</t>
  </si>
  <si>
    <t>4. Otras provisiones</t>
  </si>
  <si>
    <t>II. Deudas a largo plazo</t>
  </si>
  <si>
    <t>1. Obligaciones y otros valores negociables</t>
  </si>
  <si>
    <t>2. Deudas con entidades de crédito</t>
  </si>
  <si>
    <t>3. Acreedores por arrendamiento financiero</t>
  </si>
  <si>
    <t>5. Otros pasivos financieros</t>
  </si>
  <si>
    <t>III. Deudas con empresas del grupo y asociadas a L/P</t>
  </si>
  <si>
    <t>IV. Pasivos por impuesto diferido</t>
  </si>
  <si>
    <t>V. Periodificaciones a largo plazo</t>
  </si>
  <si>
    <t>I. Pasivos vinculados con act. no corrientes mantenidos para la vta</t>
  </si>
  <si>
    <t>II. Provisiones a corto plazo</t>
  </si>
  <si>
    <t>III. Deudas a corto plazo</t>
  </si>
  <si>
    <t>IV. Deudas con empresas del grupo y asociadas a C/P</t>
  </si>
  <si>
    <t>V. Acreedores comerciales y otras cuentas a pagar</t>
  </si>
  <si>
    <t>1. Proveedores</t>
  </si>
  <si>
    <t>2. Proveedores, empresas de grupo y asociadas</t>
  </si>
  <si>
    <t>3. Acreedores varios</t>
  </si>
  <si>
    <t>4. Personal (remuneraciones pendientes de pago)</t>
  </si>
  <si>
    <t>5. Pasivos por imposto corrente</t>
  </si>
  <si>
    <t>6. Otras deudas con las Administraciones Públicas</t>
  </si>
  <si>
    <t>7. Anticipos de clientes</t>
  </si>
  <si>
    <t>TOTAL PASIVO</t>
  </si>
  <si>
    <t>PÉRDIDAS Y GANANCIAS</t>
  </si>
  <si>
    <t>1. Importe neto de la cifra de negocios</t>
  </si>
  <si>
    <t>2. Variación de existencias de PT y en curso de fabricación</t>
  </si>
  <si>
    <t>3. Trabajos realizados por la empresa para su activo</t>
  </si>
  <si>
    <t>4. Aprovisionamientos</t>
  </si>
  <si>
    <t>5. Otros ingresos de explotación</t>
  </si>
  <si>
    <t>6. Gastos de personal</t>
  </si>
  <si>
    <t>7. Otros gastos de explotación</t>
  </si>
  <si>
    <t>8. Amortización del inmovilizado</t>
  </si>
  <si>
    <t>9. Imputación de subvenciones de inmov. no financiero y otras</t>
  </si>
  <si>
    <t>10. Excesos de provisiones</t>
  </si>
  <si>
    <t>11. Deterioro y resultado por enajenaciones del inmovilizado</t>
  </si>
  <si>
    <t>11.bis Otros resultados</t>
  </si>
  <si>
    <t>a) Gastos excepcionales</t>
  </si>
  <si>
    <t>b) Ingresos excepcionales</t>
  </si>
  <si>
    <t>A) RESULTADO DE EXPLOTACIÓN</t>
  </si>
  <si>
    <t>12. Ingresos financieros</t>
  </si>
  <si>
    <t>13. Gastos financieros</t>
  </si>
  <si>
    <t>14. Variación de valor razonable en instrumentos financieros</t>
  </si>
  <si>
    <t>15. Diferencias de cambio</t>
  </si>
  <si>
    <t>16. Deterioro y rtdo. por enajenaciones de instrumentos fros.</t>
  </si>
  <si>
    <t>B) RESULTADO FINANCIERO</t>
  </si>
  <si>
    <t>C) RESULTADO ANTES DE IMPUESTOS</t>
  </si>
  <si>
    <t>17. Impuestos sobre beneficios</t>
  </si>
  <si>
    <t>D) RESULTADO DEL EJERCICIO</t>
  </si>
  <si>
    <t>Cotización á Seguridade Social</t>
  </si>
  <si>
    <t>En este sentido, dicha campaña está centrada principalmente en acción de calle. Ello no significa que, en momentos puntuales, se descarten medios como puede ser el escrito (especialmente, se haría un esfuerzo por lograr ser mencionados en blogs influyentes). Calculamos, a continuación, el CAC (Coste de Adquisición por Consumidor) de vías alternativas (considerando que el precio por uso Premium del servicio sea de 1,00 euros):</t>
  </si>
  <si>
    <t>Considemos un precio de venta de 1,00 euros  (IVA incluido; el cual, a efectos del cálculo de ingresos, queda desechado). Entendemos que se trata de un precio prudente y con recorrido.</t>
  </si>
  <si>
    <t>Gasto personal marketing a 8 euros/hora</t>
  </si>
  <si>
    <t>Coste personal marketing a 8 euros/hora</t>
  </si>
  <si>
    <t>Personas</t>
  </si>
  <si>
    <t xml:space="preserve">    Primeros 6 meses: bonificación del 80% de la cuota</t>
  </si>
  <si>
    <t xml:space="preserve">    Meses 7 al 12: bonificación del 50% de la cuota</t>
  </si>
  <si>
    <t xml:space="preserve">    Meses 13 al 18: bonificación del 30% de la cuota</t>
  </si>
  <si>
    <t xml:space="preserve">    Resto mensualidades</t>
  </si>
  <si>
    <t xml:space="preserve">Valor en libros </t>
  </si>
  <si>
    <t>Dotaciones del ejercicio</t>
  </si>
  <si>
    <t>Propiedad intelectual</t>
  </si>
  <si>
    <t>2. Instalaciones técnicas y otro inmovilizado material</t>
  </si>
  <si>
    <t>3. Patentes, licencias, marcas y similares</t>
  </si>
  <si>
    <t>I. Inmovilizado intangible</t>
  </si>
  <si>
    <t>VI. Activo por impuesto diferido</t>
  </si>
  <si>
    <t>B) ACTIVO CORRIENTE</t>
  </si>
  <si>
    <t>A) ACTIVO NO CORRIENTE</t>
  </si>
  <si>
    <t>Pasivo - epígrafe C) III Deudas a corto plazo.</t>
  </si>
  <si>
    <t>Activo - epígrafe B) VII Tesorería</t>
  </si>
  <si>
    <t>V. Resultados de ejercicios anteriores</t>
  </si>
  <si>
    <t>2. (Resultados negativos de ejercicios anteriores)</t>
  </si>
  <si>
    <t>VII. Resultado del ejercicio</t>
  </si>
  <si>
    <t>C) PASIVO CORRIENTE</t>
  </si>
  <si>
    <t>Diferencia</t>
  </si>
  <si>
    <t>VII. Efectivo y otros activos líquidos equivalentes</t>
  </si>
  <si>
    <t>Efectivo</t>
  </si>
  <si>
    <t>2. Otros activos líquidos equivalentes</t>
  </si>
  <si>
    <t xml:space="preserve">     Tesorería</t>
  </si>
  <si>
    <t xml:space="preserve">     Otros activos líquidos equivalentes</t>
  </si>
  <si>
    <t>Deudas con entidades de crédito a corto plazo</t>
  </si>
  <si>
    <t>Cuadre automático</t>
  </si>
  <si>
    <t>Verificación cuadre</t>
  </si>
  <si>
    <t>Valor actualizado a 2019</t>
  </si>
  <si>
    <t>2019 a 2023</t>
  </si>
  <si>
    <t>Coeficiente de viralidad</t>
  </si>
  <si>
    <t>Probabilidad de fracaso</t>
  </si>
  <si>
    <r>
      <t xml:space="preserve">El coeficiente de viralidad es el número de nuevos usuarios que cada antiguo user atrae a través del boca a boca (es calculado, por lo tanto, a expensas de la campaña de promoción que, a mayores, se pudiera optar por implementar). Consideramos que un coeficiente cercano al valor de 1,5 unidades es prudente, tomando en consideración el hecho de que se trata de una aplicación de ocio (particularmente, enfocada al turismo). </t>
    </r>
    <r>
      <rPr>
        <sz val="11"/>
        <color rgb="FF00B050"/>
        <rFont val="Calibri"/>
        <family val="2"/>
        <scheme val="minor"/>
      </rPr>
      <t>Asimismo, por criterio de prudencia, y para tener en cuenta el efecto de posible obsolescencia de la tecnología y, especialmente, de posible aparición de competencia, hemos dedudido el coeficiente en un 15% anual acumulativo (véase Coeficiente de viralidad durante los ejercicios siguientes).</t>
    </r>
  </si>
  <si>
    <t>Límite máximo de usuarios</t>
  </si>
  <si>
    <t>Otros gastos de gestión corriente</t>
  </si>
  <si>
    <t xml:space="preserve">   Material de oficina</t>
  </si>
  <si>
    <t xml:space="preserve">   Suministros</t>
  </si>
  <si>
    <t xml:space="preserve">    Alquiler oficina</t>
  </si>
  <si>
    <t>Servidor</t>
  </si>
  <si>
    <t>euros/usuario mes</t>
  </si>
  <si>
    <t>395 son los usuarios que, a día de hoy (abril 2015), emplean la aplicación cada mes.</t>
  </si>
  <si>
    <r>
      <t xml:space="preserve">   </t>
    </r>
    <r>
      <rPr>
        <b/>
        <sz val="11"/>
        <color theme="1"/>
        <rFont val="Calibri"/>
        <family val="2"/>
        <scheme val="minor"/>
      </rPr>
      <t>Hojas de color verde</t>
    </r>
    <r>
      <rPr>
        <sz val="11"/>
        <color theme="1"/>
        <rFont val="Calibri"/>
        <family val="2"/>
        <scheme val="minor"/>
      </rPr>
      <t xml:space="preserve">: son la base que sustenta todos los cálculos de las demás hojas. En ellas, se recogen las hipótesis y se estiman los ingresos, así como parte de los gastos.
</t>
    </r>
    <r>
      <rPr>
        <b/>
        <sz val="11"/>
        <color theme="1"/>
        <rFont val="Calibri"/>
        <family val="2"/>
        <scheme val="minor"/>
      </rPr>
      <t xml:space="preserve">  Hojas de color naranja</t>
    </r>
    <r>
      <rPr>
        <sz val="11"/>
        <color theme="1"/>
        <rFont val="Calibri"/>
        <family val="2"/>
        <scheme val="minor"/>
      </rPr>
      <t xml:space="preserve">: corresponden a Activo, Pasivo y PyG.
</t>
    </r>
    <r>
      <rPr>
        <b/>
        <sz val="11"/>
        <color theme="1"/>
        <rFont val="Calibri"/>
        <family val="2"/>
        <scheme val="minor"/>
      </rPr>
      <t xml:space="preserve">  Hoja de color amarillo: </t>
    </r>
    <r>
      <rPr>
        <sz val="11"/>
        <color theme="1"/>
        <rFont val="Calibri"/>
        <family val="2"/>
        <scheme val="minor"/>
      </rPr>
      <t xml:space="preserve">en base a la información anterior, se realiza un cálculo financiero para valorar el proyecto a la fecha actual. Dicho cálculo tiene en cuenta el riesgo asociado a la inversión.
</t>
    </r>
    <r>
      <rPr>
        <b/>
        <sz val="11"/>
        <color theme="1"/>
        <rFont val="Calibri"/>
        <family val="2"/>
        <scheme val="minor"/>
      </rPr>
      <t xml:space="preserve">  Hoja de color gris: </t>
    </r>
    <r>
      <rPr>
        <sz val="11"/>
        <color theme="1"/>
        <rFont val="Calibri"/>
        <family val="2"/>
        <scheme val="minor"/>
      </rPr>
      <t xml:space="preserve">se recoje un cuadro donde se realiza una valoración (análoga a la realizada en la hoja "Cálculo valoración empresa") en función del nivel de riesgo y del coeficiente de viralidad.
</t>
    </r>
  </si>
  <si>
    <r>
      <rPr>
        <b/>
        <sz val="11"/>
        <color theme="1"/>
        <rFont val="Calibri"/>
        <family val="2"/>
        <scheme val="minor"/>
      </rPr>
      <t>NOTA:</t>
    </r>
    <r>
      <rPr>
        <sz val="11"/>
        <color theme="1"/>
        <rFont val="Calibri"/>
        <family val="2"/>
        <scheme val="minor"/>
      </rPr>
      <t xml:space="preserve"> todas las hojas se encuentran refererenciadas entre sí, de modo que el lector puede modificar la variable que desee para analizar el impacto que la misma tendría  sobre los estados financieros aquí recogidos y sobre la valoración del proyecto (Nótese que Activo, Pasivo y PyG tienen un filtro en la última de las columnas, a fin de ocultar las celdas con valores cero).</t>
    </r>
  </si>
  <si>
    <t>Periodo generación de contenido. 7 meses x 30 días = 210 días.</t>
  </si>
  <si>
    <t>Periodo de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</si>
</sst>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8" formatCode="#,##0.00\ &quot;€&quot;;[Red]\-#,##0.00\ &quot;€&quot;"/>
    <numFmt numFmtId="43" formatCode="_-* #,##0.00\ _€_-;\-* #,##0.00\ _€_-;_-* &quot;-&quot;??\ _€_-;_-@_-"/>
    <numFmt numFmtId="164" formatCode="_-* #,##0\ _€_-;\-* #,##0\ _€_-;_-* &quot;-&quot;??\ _€_-;_-@_-"/>
    <numFmt numFmtId="165" formatCode="_-* #,##0.0000\ _€_-;\-* #,##0.0000\ _€_-;_-* &quot;-&quot;??\ _€_-;_-@_-"/>
    <numFmt numFmtId="166"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color rgb="FF0070C0"/>
      <name val="Calibri"/>
      <family val="2"/>
      <scheme val="minor"/>
    </font>
    <font>
      <b/>
      <sz val="11"/>
      <color rgb="FFFF0000"/>
      <name val="Calibri"/>
      <family val="2"/>
      <scheme val="minor"/>
    </font>
    <font>
      <b/>
      <sz val="11"/>
      <color rgb="FF00B050"/>
      <name val="Calibri"/>
      <family val="2"/>
      <scheme val="minor"/>
    </font>
    <font>
      <b/>
      <sz val="9"/>
      <color indexed="81"/>
      <name val="Tahoma"/>
      <family val="2"/>
    </font>
    <font>
      <sz val="9"/>
      <color indexed="81"/>
      <name val="Tahoma"/>
      <charset val="1"/>
    </font>
    <font>
      <b/>
      <sz val="12"/>
      <name val="Arial"/>
      <family val="2"/>
    </font>
    <font>
      <b/>
      <sz val="12"/>
      <color theme="1"/>
      <name val="Arial"/>
      <family val="2"/>
    </font>
    <font>
      <b/>
      <sz val="11"/>
      <name val="Arial"/>
      <family val="2"/>
    </font>
    <font>
      <sz val="12"/>
      <name val="Arial"/>
      <family val="2"/>
    </font>
    <font>
      <sz val="12"/>
      <color theme="1"/>
      <name val="Arial"/>
      <family val="2"/>
    </font>
    <font>
      <sz val="11"/>
      <name val="Arial"/>
      <family val="2"/>
    </font>
    <font>
      <sz val="10"/>
      <name val="Arial"/>
      <family val="2"/>
    </font>
    <font>
      <b/>
      <sz val="10"/>
      <name val="Arial"/>
      <family val="2"/>
    </font>
    <font>
      <sz val="11"/>
      <color rgb="FF00B050"/>
      <name val="Calibri"/>
      <family val="2"/>
      <scheme val="minor"/>
    </font>
    <font>
      <sz val="10"/>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D4949"/>
        <bgColor indexed="64"/>
      </patternFill>
    </fill>
    <fill>
      <patternFill patternType="solid">
        <fgColor theme="8" tint="0.39997558519241921"/>
        <bgColor indexed="64"/>
      </patternFill>
    </fill>
    <fill>
      <patternFill patternType="solid">
        <fgColor theme="5"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0" fillId="2" borderId="0" xfId="0" applyFill="1"/>
    <xf numFmtId="0" fontId="0" fillId="2" borderId="1" xfId="0" applyFill="1" applyBorder="1" applyAlignment="1">
      <alignment horizontal="center" vertical="center"/>
    </xf>
    <xf numFmtId="0" fontId="0" fillId="2" borderId="0" xfId="0" applyFill="1" applyBorder="1"/>
    <xf numFmtId="0" fontId="0" fillId="2" borderId="0" xfId="0" applyFill="1" applyAlignment="1">
      <alignment horizontal="center"/>
    </xf>
    <xf numFmtId="0" fontId="0" fillId="2" borderId="1" xfId="0" applyFill="1" applyBorder="1" applyAlignment="1">
      <alignment horizontal="center" wrapText="1"/>
    </xf>
    <xf numFmtId="17" fontId="0" fillId="2" borderId="1" xfId="0" applyNumberFormat="1" applyFill="1" applyBorder="1" applyAlignment="1">
      <alignment horizontal="center"/>
    </xf>
    <xf numFmtId="43" fontId="0" fillId="2" borderId="1" xfId="1" applyFont="1" applyFill="1" applyBorder="1" applyAlignment="1">
      <alignment horizontal="center"/>
    </xf>
    <xf numFmtId="9" fontId="0" fillId="2" borderId="1" xfId="2" applyFont="1" applyFill="1" applyBorder="1"/>
    <xf numFmtId="0" fontId="0" fillId="3" borderId="0" xfId="0" applyFill="1"/>
    <xf numFmtId="0" fontId="0" fillId="4" borderId="0" xfId="0" applyFill="1"/>
    <xf numFmtId="0" fontId="0" fillId="5" borderId="0" xfId="0" applyFill="1"/>
    <xf numFmtId="0" fontId="0" fillId="2" borderId="1" xfId="0" applyFill="1" applyBorder="1"/>
    <xf numFmtId="43" fontId="0" fillId="2" borderId="1" xfId="1" applyFont="1" applyFill="1" applyBorder="1"/>
    <xf numFmtId="0" fontId="2" fillId="2" borderId="1" xfId="0" applyFont="1" applyFill="1" applyBorder="1"/>
    <xf numFmtId="0" fontId="2" fillId="2" borderId="1" xfId="0" applyFont="1"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vertical="center"/>
    </xf>
    <xf numFmtId="164" fontId="0" fillId="2" borderId="1" xfId="0" applyNumberFormat="1" applyFill="1" applyBorder="1" applyAlignment="1">
      <alignment vertical="center"/>
    </xf>
    <xf numFmtId="9" fontId="0" fillId="2" borderId="1" xfId="2" applyFont="1" applyFill="1" applyBorder="1" applyAlignment="1">
      <alignment horizontal="center"/>
    </xf>
    <xf numFmtId="0" fontId="2" fillId="2" borderId="1" xfId="0" applyFont="1" applyFill="1" applyBorder="1" applyAlignment="1">
      <alignment horizontal="left"/>
    </xf>
    <xf numFmtId="0" fontId="4" fillId="2" borderId="0" xfId="0" quotePrefix="1" applyFont="1" applyFill="1" applyAlignment="1">
      <alignment horizontal="center"/>
    </xf>
    <xf numFmtId="0" fontId="0" fillId="2" borderId="0" xfId="0" applyFill="1" applyAlignment="1"/>
    <xf numFmtId="0" fontId="0" fillId="2" borderId="0" xfId="0" applyFill="1" applyBorder="1" applyAlignment="1">
      <alignment horizontal="left" wrapText="1"/>
    </xf>
    <xf numFmtId="164" fontId="0" fillId="2" borderId="1" xfId="1" applyNumberFormat="1" applyFont="1" applyFill="1" applyBorder="1" applyAlignment="1">
      <alignment horizontal="center" vertical="center"/>
    </xf>
    <xf numFmtId="0" fontId="0" fillId="2" borderId="0" xfId="0" applyFill="1" applyAlignment="1">
      <alignment horizontal="left" wrapText="1"/>
    </xf>
    <xf numFmtId="43" fontId="0" fillId="2" borderId="0" xfId="1" applyFont="1" applyFill="1" applyAlignment="1">
      <alignment horizont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43" fontId="0" fillId="2" borderId="0" xfId="1" applyFont="1" applyFill="1" applyBorder="1"/>
    <xf numFmtId="0" fontId="0" fillId="2" borderId="8" xfId="0" applyFill="1" applyBorder="1"/>
    <xf numFmtId="0" fontId="0" fillId="2" borderId="9" xfId="0" applyFill="1" applyBorder="1"/>
    <xf numFmtId="0" fontId="0" fillId="2" borderId="10" xfId="0" applyFill="1" applyBorder="1"/>
    <xf numFmtId="9" fontId="0" fillId="2" borderId="0" xfId="2" applyFont="1" applyFill="1" applyBorder="1"/>
    <xf numFmtId="0" fontId="0" fillId="2" borderId="0" xfId="0" applyFill="1" applyBorder="1" applyAlignment="1"/>
    <xf numFmtId="17" fontId="0" fillId="2" borderId="14" xfId="0" applyNumberFormat="1" applyFill="1" applyBorder="1" applyAlignment="1">
      <alignment horizontal="center"/>
    </xf>
    <xf numFmtId="0" fontId="2" fillId="2" borderId="18" xfId="0" applyFont="1" applyFill="1" applyBorder="1" applyAlignment="1">
      <alignment horizontal="center"/>
    </xf>
    <xf numFmtId="164" fontId="0" fillId="2" borderId="1" xfId="0" applyNumberFormat="1" applyFill="1" applyBorder="1"/>
    <xf numFmtId="17" fontId="0" fillId="2" borderId="1" xfId="0" applyNumberFormat="1" applyFill="1" applyBorder="1" applyAlignment="1">
      <alignment horizontal="center" vertical="center"/>
    </xf>
    <xf numFmtId="43" fontId="0" fillId="2" borderId="1" xfId="1" applyFont="1" applyFill="1" applyBorder="1" applyAlignment="1">
      <alignment horizontal="center" vertical="center"/>
    </xf>
    <xf numFmtId="9" fontId="0" fillId="2" borderId="1" xfId="2" applyFont="1" applyFill="1" applyBorder="1" applyAlignment="1">
      <alignment horizontal="center" vertical="center"/>
    </xf>
    <xf numFmtId="0" fontId="0" fillId="2" borderId="2" xfId="0" applyFill="1" applyBorder="1" applyAlignment="1">
      <alignment horizontal="center" vertical="center" wrapText="1"/>
    </xf>
    <xf numFmtId="0" fontId="0" fillId="2" borderId="0" xfId="0" applyFill="1" applyAlignment="1">
      <alignment vertical="center"/>
    </xf>
    <xf numFmtId="6" fontId="0" fillId="2" borderId="1" xfId="0" applyNumberFormat="1" applyFill="1" applyBorder="1" applyAlignment="1">
      <alignment horizontal="center"/>
    </xf>
    <xf numFmtId="8" fontId="0" fillId="2" borderId="1" xfId="0" applyNumberFormat="1" applyFill="1" applyBorder="1" applyAlignment="1">
      <alignment horizontal="center"/>
    </xf>
    <xf numFmtId="0" fontId="0" fillId="2" borderId="1" xfId="0" quotePrefix="1" applyFill="1" applyBorder="1" applyAlignment="1">
      <alignment horizontal="center"/>
    </xf>
    <xf numFmtId="0" fontId="0" fillId="2" borderId="21" xfId="0" applyFill="1" applyBorder="1"/>
    <xf numFmtId="0" fontId="0" fillId="2" borderId="22" xfId="0" applyFill="1" applyBorder="1"/>
    <xf numFmtId="0" fontId="0" fillId="2" borderId="1" xfId="0" applyFill="1" applyBorder="1" applyAlignment="1">
      <alignment horizontal="center" wrapText="1"/>
    </xf>
    <xf numFmtId="0" fontId="0" fillId="2" borderId="0" xfId="0" applyFill="1" applyBorder="1" applyAlignment="1">
      <alignment horizontal="left" wrapText="1"/>
    </xf>
    <xf numFmtId="43" fontId="0" fillId="2" borderId="21" xfId="1" applyFont="1" applyFill="1" applyBorder="1"/>
    <xf numFmtId="0" fontId="0" fillId="2" borderId="1" xfId="0" applyFill="1" applyBorder="1" applyAlignment="1">
      <alignment horizontal="center" vertical="center" wrapText="1"/>
    </xf>
    <xf numFmtId="9" fontId="0" fillId="2" borderId="0" xfId="2" applyFont="1" applyFill="1"/>
    <xf numFmtId="43" fontId="0" fillId="2" borderId="0" xfId="1" applyFont="1" applyFill="1"/>
    <xf numFmtId="9" fontId="0" fillId="2" borderId="1" xfId="2" applyNumberFormat="1" applyFont="1" applyFill="1" applyBorder="1"/>
    <xf numFmtId="43" fontId="0" fillId="2" borderId="22" xfId="1" applyFont="1" applyFill="1" applyBorder="1"/>
    <xf numFmtId="0" fontId="2" fillId="2" borderId="18" xfId="0" applyFont="1" applyFill="1" applyBorder="1"/>
    <xf numFmtId="43" fontId="0" fillId="2" borderId="20" xfId="1" applyFont="1" applyFill="1" applyBorder="1"/>
    <xf numFmtId="0" fontId="0" fillId="2" borderId="1" xfId="0" applyFill="1" applyBorder="1" applyAlignment="1">
      <alignment horizontal="center"/>
    </xf>
    <xf numFmtId="10" fontId="0" fillId="2" borderId="0" xfId="0" applyNumberFormat="1" applyFill="1"/>
    <xf numFmtId="43" fontId="0" fillId="2" borderId="1" xfId="1" applyFont="1" applyFill="1" applyBorder="1" applyAlignment="1">
      <alignment horizontal="center" wrapText="1"/>
    </xf>
    <xf numFmtId="43" fontId="0" fillId="7" borderId="2" xfId="1" applyNumberFormat="1" applyFont="1" applyFill="1" applyBorder="1"/>
    <xf numFmtId="43" fontId="0" fillId="2" borderId="0" xfId="0" applyNumberFormat="1" applyFill="1"/>
    <xf numFmtId="0" fontId="0" fillId="2" borderId="0" xfId="0" applyFill="1" applyAlignment="1">
      <alignment horizontal="left" wrapText="1"/>
    </xf>
    <xf numFmtId="0" fontId="9" fillId="2" borderId="1" xfId="0" applyFont="1" applyFill="1" applyBorder="1" applyProtection="1">
      <protection hidden="1"/>
    </xf>
    <xf numFmtId="0" fontId="9" fillId="2" borderId="1" xfId="0" applyFont="1" applyFill="1" applyBorder="1" applyAlignment="1" applyProtection="1">
      <alignment horizontal="center"/>
      <protection hidden="1"/>
    </xf>
    <xf numFmtId="0" fontId="9" fillId="2" borderId="1" xfId="0" applyNumberFormat="1" applyFont="1" applyFill="1" applyBorder="1" applyAlignment="1" applyProtection="1">
      <alignment horizontal="center"/>
      <protection hidden="1"/>
    </xf>
    <xf numFmtId="0" fontId="2" fillId="2" borderId="0" xfId="0" applyFont="1" applyFill="1"/>
    <xf numFmtId="0" fontId="10" fillId="2" borderId="23" xfId="0" applyFont="1" applyFill="1" applyBorder="1" applyProtection="1">
      <protection hidden="1"/>
    </xf>
    <xf numFmtId="0" fontId="10" fillId="2" borderId="23" xfId="0" applyFont="1" applyFill="1" applyBorder="1" applyAlignment="1" applyProtection="1">
      <alignment horizontal="center"/>
      <protection hidden="1"/>
    </xf>
    <xf numFmtId="4" fontId="9" fillId="2" borderId="19" xfId="0" applyNumberFormat="1" applyFont="1" applyFill="1" applyBorder="1" applyProtection="1">
      <protection hidden="1"/>
    </xf>
    <xf numFmtId="4" fontId="0" fillId="2" borderId="0" xfId="0" applyNumberFormat="1" applyFill="1"/>
    <xf numFmtId="0" fontId="0" fillId="2" borderId="23" xfId="0" applyFill="1" applyBorder="1" applyProtection="1">
      <protection hidden="1"/>
    </xf>
    <xf numFmtId="0" fontId="0" fillId="2" borderId="23" xfId="0" applyFill="1" applyBorder="1" applyAlignment="1" applyProtection="1">
      <alignment horizontal="center"/>
      <protection hidden="1"/>
    </xf>
    <xf numFmtId="4" fontId="0" fillId="2" borderId="19" xfId="0" applyNumberFormat="1" applyFill="1" applyBorder="1" applyProtection="1">
      <protection hidden="1"/>
    </xf>
    <xf numFmtId="0" fontId="11" fillId="2" borderId="23" xfId="0" applyFont="1" applyFill="1" applyBorder="1" applyAlignment="1" applyProtection="1">
      <alignment horizontal="left" indent="1"/>
      <protection hidden="1"/>
    </xf>
    <xf numFmtId="0" fontId="11" fillId="2" borderId="23" xfId="0" applyFont="1" applyFill="1" applyBorder="1" applyAlignment="1" applyProtection="1">
      <alignment horizontal="center"/>
      <protection hidden="1"/>
    </xf>
    <xf numFmtId="4" fontId="11" fillId="2" borderId="19" xfId="0" applyNumberFormat="1" applyFont="1" applyFill="1" applyBorder="1" applyProtection="1">
      <protection hidden="1"/>
    </xf>
    <xf numFmtId="0" fontId="0" fillId="2" borderId="23" xfId="0" applyFill="1" applyBorder="1" applyAlignment="1" applyProtection="1">
      <alignment horizontal="left" indent="2"/>
      <protection hidden="1"/>
    </xf>
    <xf numFmtId="0" fontId="0" fillId="2" borderId="23" xfId="0" quotePrefix="1" applyFill="1" applyBorder="1" applyAlignment="1" applyProtection="1">
      <alignment horizontal="center"/>
      <protection hidden="1"/>
    </xf>
    <xf numFmtId="4" fontId="9" fillId="2" borderId="1" xfId="0" applyNumberFormat="1" applyFont="1" applyFill="1" applyBorder="1" applyProtection="1">
      <protection hidden="1"/>
    </xf>
    <xf numFmtId="0" fontId="2" fillId="2" borderId="0" xfId="0" applyFont="1" applyFill="1" applyAlignment="1">
      <alignment horizontal="center"/>
    </xf>
    <xf numFmtId="0" fontId="12" fillId="2" borderId="1" xfId="0" applyFont="1" applyFill="1" applyBorder="1" applyAlignment="1" applyProtection="1">
      <alignment horizontal="center"/>
      <protection hidden="1"/>
    </xf>
    <xf numFmtId="0" fontId="13" fillId="2" borderId="23" xfId="0" applyFont="1" applyFill="1" applyBorder="1" applyAlignment="1" applyProtection="1">
      <alignment horizontal="center"/>
      <protection hidden="1"/>
    </xf>
    <xf numFmtId="0" fontId="11" fillId="2" borderId="23" xfId="0" applyFont="1" applyFill="1" applyBorder="1" applyProtection="1">
      <protection hidden="1"/>
    </xf>
    <xf numFmtId="0" fontId="14" fillId="2" borderId="23" xfId="0" applyFont="1" applyFill="1" applyBorder="1" applyAlignment="1" applyProtection="1">
      <alignment horizontal="center"/>
      <protection hidden="1"/>
    </xf>
    <xf numFmtId="0" fontId="15" fillId="2" borderId="23" xfId="0" applyFont="1" applyFill="1" applyBorder="1" applyAlignment="1" applyProtection="1">
      <alignment horizontal="center"/>
      <protection hidden="1"/>
    </xf>
    <xf numFmtId="0" fontId="15" fillId="2" borderId="23" xfId="0" quotePrefix="1" applyFont="1" applyFill="1" applyBorder="1" applyAlignment="1" applyProtection="1">
      <alignment horizontal="center"/>
      <protection hidden="1"/>
    </xf>
    <xf numFmtId="0" fontId="16" fillId="2" borderId="23" xfId="0" applyFont="1" applyFill="1" applyBorder="1" applyAlignment="1" applyProtection="1">
      <alignment horizontal="left" indent="1"/>
      <protection hidden="1"/>
    </xf>
    <xf numFmtId="4" fontId="16" fillId="2" borderId="19" xfId="0" applyNumberFormat="1" applyFont="1" applyFill="1" applyBorder="1" applyProtection="1">
      <protection hidden="1"/>
    </xf>
    <xf numFmtId="0" fontId="12" fillId="2" borderId="1" xfId="0" applyFont="1" applyFill="1" applyBorder="1" applyProtection="1">
      <protection hidden="1"/>
    </xf>
    <xf numFmtId="0" fontId="12" fillId="2" borderId="1" xfId="0" applyNumberFormat="1" applyFont="1" applyFill="1" applyBorder="1" applyAlignment="1" applyProtection="1">
      <alignment horizontal="center"/>
      <protection hidden="1"/>
    </xf>
    <xf numFmtId="0" fontId="14" fillId="2" borderId="23" xfId="0" applyFont="1" applyFill="1" applyBorder="1" applyAlignment="1" applyProtection="1">
      <alignment horizontal="left" indent="1"/>
      <protection hidden="1"/>
    </xf>
    <xf numFmtId="4" fontId="14" fillId="2" borderId="19" xfId="0" applyNumberFormat="1" applyFont="1" applyFill="1" applyBorder="1" applyProtection="1">
      <protection hidden="1"/>
    </xf>
    <xf numFmtId="0" fontId="14" fillId="2" borderId="23" xfId="0" quotePrefix="1" applyFont="1" applyFill="1" applyBorder="1" applyAlignment="1" applyProtection="1">
      <alignment horizontal="left" indent="1"/>
      <protection hidden="1"/>
    </xf>
    <xf numFmtId="0" fontId="15" fillId="2" borderId="23" xfId="0" applyFont="1" applyFill="1" applyBorder="1" applyAlignment="1" applyProtection="1">
      <alignment horizontal="left" indent="2"/>
      <protection hidden="1"/>
    </xf>
    <xf numFmtId="4" fontId="15" fillId="2" borderId="19" xfId="0" applyNumberFormat="1" applyFont="1" applyFill="1" applyBorder="1" applyProtection="1">
      <protection hidden="1"/>
    </xf>
    <xf numFmtId="0" fontId="14" fillId="2" borderId="23" xfId="0" applyFont="1" applyFill="1" applyBorder="1" applyProtection="1">
      <protection hidden="1"/>
    </xf>
    <xf numFmtId="0" fontId="14" fillId="2" borderId="1" xfId="0" applyFont="1" applyFill="1" applyBorder="1" applyProtection="1">
      <protection hidden="1"/>
    </xf>
    <xf numFmtId="4" fontId="14" fillId="2" borderId="1" xfId="0" applyNumberFormat="1" applyFont="1" applyFill="1" applyBorder="1" applyProtection="1">
      <protection hidden="1"/>
    </xf>
    <xf numFmtId="43" fontId="0" fillId="2" borderId="1" xfId="0" applyNumberFormat="1" applyFill="1" applyBorder="1" applyAlignment="1">
      <alignment vertical="center" wrapText="1"/>
    </xf>
    <xf numFmtId="43" fontId="0" fillId="2" borderId="1" xfId="0" applyNumberFormat="1" applyFill="1" applyBorder="1" applyAlignment="1">
      <alignment horizontal="center" vertical="center" wrapText="1"/>
    </xf>
    <xf numFmtId="43" fontId="0" fillId="2" borderId="1" xfId="0" applyNumberFormat="1" applyFill="1" applyBorder="1" applyAlignment="1">
      <alignment vertical="center"/>
    </xf>
    <xf numFmtId="0" fontId="0" fillId="2" borderId="25" xfId="0" applyFill="1" applyBorder="1"/>
    <xf numFmtId="0" fontId="0" fillId="2" borderId="24" xfId="0" applyFill="1" applyBorder="1"/>
    <xf numFmtId="0" fontId="0" fillId="2" borderId="26" xfId="0" applyFill="1" applyBorder="1"/>
    <xf numFmtId="0" fontId="0" fillId="2" borderId="23" xfId="0" applyFill="1" applyBorder="1"/>
    <xf numFmtId="0" fontId="0" fillId="2" borderId="27" xfId="0" applyFill="1" applyBorder="1"/>
    <xf numFmtId="0" fontId="0" fillId="2" borderId="28" xfId="0" applyFill="1" applyBorder="1"/>
    <xf numFmtId="0" fontId="2" fillId="2" borderId="23" xfId="0" applyFont="1" applyFill="1" applyBorder="1"/>
    <xf numFmtId="9" fontId="0" fillId="2" borderId="0" xfId="0" applyNumberFormat="1" applyFill="1" applyBorder="1"/>
    <xf numFmtId="43" fontId="0" fillId="2" borderId="0" xfId="0" applyNumberFormat="1" applyFill="1" applyBorder="1"/>
    <xf numFmtId="4" fontId="0" fillId="2" borderId="21" xfId="0" applyNumberFormat="1" applyFill="1" applyBorder="1"/>
    <xf numFmtId="4" fontId="0" fillId="2" borderId="0" xfId="0" applyNumberFormat="1" applyFill="1" applyBorder="1"/>
    <xf numFmtId="43" fontId="0" fillId="2" borderId="27" xfId="1" applyFont="1" applyFill="1" applyBorder="1"/>
    <xf numFmtId="0" fontId="2" fillId="2" borderId="25" xfId="0" applyFont="1" applyFill="1" applyBorder="1"/>
    <xf numFmtId="43" fontId="0" fillId="2" borderId="24" xfId="1" applyFont="1" applyFill="1" applyBorder="1"/>
    <xf numFmtId="43" fontId="0" fillId="2" borderId="21" xfId="1" applyFont="1" applyFill="1" applyBorder="1" applyAlignment="1">
      <alignment horizontal="center"/>
    </xf>
    <xf numFmtId="0" fontId="0" fillId="2" borderId="3" xfId="0" applyFill="1" applyBorder="1" applyAlignment="1">
      <alignment horizontal="center"/>
    </xf>
    <xf numFmtId="43" fontId="0" fillId="2" borderId="5" xfId="1" applyFont="1" applyFill="1" applyBorder="1"/>
    <xf numFmtId="43" fontId="0" fillId="2" borderId="7" xfId="1" applyFont="1" applyFill="1" applyBorder="1"/>
    <xf numFmtId="43" fontId="0" fillId="2" borderId="8" xfId="1" applyFont="1" applyFill="1" applyBorder="1"/>
    <xf numFmtId="9" fontId="0" fillId="2" borderId="10" xfId="2" applyFont="1" applyFill="1" applyBorder="1"/>
    <xf numFmtId="165" fontId="0" fillId="2" borderId="1" xfId="1" applyNumberFormat="1" applyFont="1" applyFill="1" applyBorder="1" applyAlignment="1">
      <alignment horizontal="center" vertical="center"/>
    </xf>
    <xf numFmtId="166" fontId="0" fillId="2" borderId="1" xfId="0" applyNumberFormat="1" applyFill="1" applyBorder="1" applyAlignment="1">
      <alignment horizontal="center" vertical="center"/>
    </xf>
    <xf numFmtId="0" fontId="0" fillId="2" borderId="1" xfId="0" applyFill="1" applyBorder="1" applyAlignment="1">
      <alignment horizontal="center"/>
    </xf>
    <xf numFmtId="43" fontId="0" fillId="2" borderId="0" xfId="0" applyNumberFormat="1" applyFill="1" applyAlignment="1">
      <alignment horizontal="center"/>
    </xf>
    <xf numFmtId="0" fontId="0" fillId="2" borderId="18" xfId="0" applyFill="1" applyBorder="1"/>
    <xf numFmtId="165" fontId="0" fillId="2" borderId="29" xfId="1" applyNumberFormat="1" applyFont="1" applyFill="1" applyBorder="1"/>
    <xf numFmtId="0" fontId="0" fillId="2" borderId="29" xfId="0" applyFill="1" applyBorder="1"/>
    <xf numFmtId="0" fontId="0" fillId="2" borderId="14" xfId="0" applyFill="1" applyBorder="1"/>
    <xf numFmtId="9" fontId="0" fillId="2" borderId="1" xfId="0" applyNumberFormat="1" applyFill="1" applyBorder="1" applyAlignment="1">
      <alignment horizontal="center"/>
    </xf>
    <xf numFmtId="9" fontId="0" fillId="2" borderId="30" xfId="0" applyNumberFormat="1" applyFill="1" applyBorder="1" applyAlignment="1">
      <alignment horizontal="center"/>
    </xf>
    <xf numFmtId="0" fontId="0" fillId="2" borderId="0" xfId="0" applyFill="1" applyAlignment="1">
      <alignment horizontal="left" wrapText="1"/>
    </xf>
    <xf numFmtId="164" fontId="0" fillId="2" borderId="1" xfId="1" applyNumberFormat="1" applyFont="1" applyFill="1" applyBorder="1" applyAlignment="1">
      <alignment horizontal="center"/>
    </xf>
    <xf numFmtId="164" fontId="0" fillId="2" borderId="0" xfId="0" applyNumberFormat="1" applyFill="1"/>
    <xf numFmtId="0" fontId="0" fillId="2" borderId="21" xfId="0" applyFill="1" applyBorder="1" applyAlignment="1">
      <alignment horizontal="left" wrapText="1"/>
    </xf>
    <xf numFmtId="0" fontId="0" fillId="8" borderId="0" xfId="0" applyFill="1"/>
    <xf numFmtId="0" fontId="0" fillId="2" borderId="0" xfId="0" applyFill="1" applyAlignment="1">
      <alignment horizontal="left" wrapText="1"/>
    </xf>
    <xf numFmtId="0" fontId="0" fillId="2" borderId="21" xfId="0" applyFill="1" applyBorder="1" applyAlignment="1">
      <alignment horizontal="left" vertical="top" wrapText="1"/>
    </xf>
    <xf numFmtId="0" fontId="0" fillId="2" borderId="1" xfId="0" applyFill="1" applyBorder="1" applyAlignment="1">
      <alignment horizontal="center" wrapText="1"/>
    </xf>
    <xf numFmtId="10" fontId="0" fillId="4" borderId="1" xfId="2" applyNumberFormat="1" applyFont="1" applyFill="1" applyBorder="1" applyAlignment="1">
      <alignment horizontal="center"/>
    </xf>
    <xf numFmtId="9" fontId="0" fillId="6" borderId="1" xfId="2" applyFont="1" applyFill="1" applyBorder="1" applyAlignment="1">
      <alignment horizontal="center"/>
    </xf>
    <xf numFmtId="0" fontId="0" fillId="2" borderId="0" xfId="0" applyFill="1" applyBorder="1" applyAlignment="1">
      <alignment horizontal="left" wrapText="1"/>
    </xf>
    <xf numFmtId="0" fontId="0" fillId="3" borderId="0" xfId="0" applyFill="1" applyAlignment="1">
      <alignment horizontal="left" wrapText="1"/>
    </xf>
    <xf numFmtId="43" fontId="0" fillId="2" borderId="0" xfId="1" applyFont="1" applyFill="1" applyAlignment="1">
      <alignment horizontal="left" wrapText="1"/>
    </xf>
    <xf numFmtId="0" fontId="2" fillId="3" borderId="0" xfId="0" applyFont="1" applyFill="1" applyAlignment="1">
      <alignment horizontal="center" wrapText="1"/>
    </xf>
    <xf numFmtId="0" fontId="2" fillId="3" borderId="0" xfId="0" applyFont="1" applyFill="1" applyAlignment="1">
      <alignment horizontal="center" vertical="center" textRotation="90"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30" xfId="0" applyFill="1" applyBorder="1" applyAlignment="1">
      <alignment horizontal="center" wrapText="1"/>
    </xf>
    <xf numFmtId="0" fontId="0" fillId="2" borderId="20" xfId="0" applyFill="1" applyBorder="1" applyAlignment="1">
      <alignment horizontal="center" wrapText="1"/>
    </xf>
    <xf numFmtId="164" fontId="0" fillId="2" borderId="30" xfId="1" applyNumberFormat="1" applyFont="1" applyFill="1" applyBorder="1" applyAlignment="1">
      <alignment horizontal="center" vertical="center" wrapText="1"/>
    </xf>
    <xf numFmtId="164" fontId="0" fillId="2" borderId="20" xfId="1" applyNumberFormat="1" applyFont="1" applyFill="1" applyBorder="1" applyAlignment="1">
      <alignment horizontal="center" vertical="center" wrapText="1"/>
    </xf>
    <xf numFmtId="0" fontId="0" fillId="2" borderId="23" xfId="0" applyFill="1" applyBorder="1" applyAlignment="1">
      <alignment horizontal="left" vertical="center" wrapText="1"/>
    </xf>
    <xf numFmtId="0" fontId="0" fillId="2" borderId="0" xfId="0" applyFill="1" applyAlignment="1">
      <alignment horizontal="left" vertical="center" wrapText="1"/>
    </xf>
    <xf numFmtId="0" fontId="2" fillId="2" borderId="1" xfId="0" applyFont="1" applyFill="1" applyBorder="1" applyAlignment="1">
      <alignment horizontal="center" wrapText="1"/>
    </xf>
    <xf numFmtId="0" fontId="0" fillId="2" borderId="1" xfId="0" applyFill="1" applyBorder="1" applyAlignment="1">
      <alignment horizontal="center"/>
    </xf>
    <xf numFmtId="43" fontId="0" fillId="2" borderId="11" xfId="0" applyNumberFormat="1" applyFill="1" applyBorder="1" applyAlignment="1">
      <alignment horizontal="center" vertical="center" wrapText="1"/>
    </xf>
    <xf numFmtId="43" fontId="0" fillId="2" borderId="13" xfId="0" applyNumberFormat="1"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wrapText="1"/>
    </xf>
    <xf numFmtId="0" fontId="0" fillId="2" borderId="29" xfId="0" applyFill="1" applyBorder="1" applyAlignment="1">
      <alignment horizontal="center" wrapText="1"/>
    </xf>
    <xf numFmtId="0" fontId="0" fillId="2" borderId="14" xfId="0" applyFill="1" applyBorder="1" applyAlignment="1">
      <alignment horizontal="center" wrapText="1"/>
    </xf>
  </cellXfs>
  <cellStyles count="3">
    <cellStyle name="Comma" xfId="1" builtinId="3"/>
    <cellStyle name="Normal" xfId="0" builtinId="0"/>
    <cellStyle name="Percent" xfId="2" builtinId="5"/>
  </cellStyles>
  <dxfs count="4">
    <dxf>
      <font>
        <condense val="0"/>
        <extend val="0"/>
        <color indexed="57"/>
      </font>
    </dxf>
    <dxf>
      <font>
        <condense val="0"/>
        <extend val="0"/>
        <color indexed="10"/>
      </font>
    </dxf>
    <dxf>
      <font>
        <condense val="0"/>
        <extend val="0"/>
        <color indexed="57"/>
      </font>
    </dxf>
    <dxf>
      <font>
        <condense val="0"/>
        <extend val="0"/>
        <color indexed="10"/>
      </font>
    </dxf>
  </dxfs>
  <tableStyles count="0" defaultTableStyle="TableStyleMedium2" defaultPivotStyle="PivotStyleMedium9"/>
  <colors>
    <mruColors>
      <color rgb="FFFD494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8303410185776E-2"/>
          <c:y val="6.5378873095408532E-2"/>
          <c:w val="0.89585666560487565"/>
          <c:h val="0.84348842758291576"/>
        </c:manualLayout>
      </c:layout>
      <c:lineChart>
        <c:grouping val="standard"/>
        <c:varyColors val="0"/>
        <c:ser>
          <c:idx val="0"/>
          <c:order val="0"/>
          <c:marker>
            <c:symbol val="none"/>
          </c:marker>
          <c:cat>
            <c:numRef>
              <c:f>'2015-2016'!$C$14:$U$14</c:f>
              <c:numCache>
                <c:formatCode>mmm\-yy</c:formatCode>
                <c:ptCount val="1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numCache>
            </c:numRef>
          </c:cat>
          <c:val>
            <c:numRef>
              <c:f>'2015-2016'!$C$15:$U$15</c:f>
              <c:numCache>
                <c:formatCode>_-* #,##0\ _€_-;\-* #,##0\ _€_-;_-* "-"??\ _€_-;_-@_-</c:formatCode>
                <c:ptCount val="19"/>
                <c:pt idx="0">
                  <c:v>553</c:v>
                </c:pt>
                <c:pt idx="1">
                  <c:v>774.2</c:v>
                </c:pt>
                <c:pt idx="2">
                  <c:v>1083.8800000000001</c:v>
                </c:pt>
                <c:pt idx="3">
                  <c:v>1517.4320000000002</c:v>
                </c:pt>
                <c:pt idx="4">
                  <c:v>2124.4048000000003</c:v>
                </c:pt>
                <c:pt idx="5">
                  <c:v>2974.1667200000002</c:v>
                </c:pt>
                <c:pt idx="6">
                  <c:v>4163.8334080000004</c:v>
                </c:pt>
                <c:pt idx="7">
                  <c:v>5829.3667712000006</c:v>
                </c:pt>
                <c:pt idx="8">
                  <c:v>8161.1134796800006</c:v>
                </c:pt>
                <c:pt idx="9">
                  <c:v>11425.558871552001</c:v>
                </c:pt>
                <c:pt idx="10">
                  <c:v>15995.7824201728</c:v>
                </c:pt>
                <c:pt idx="11">
                  <c:v>22394.09538824192</c:v>
                </c:pt>
                <c:pt idx="12">
                  <c:v>32566.733543538685</c:v>
                </c:pt>
                <c:pt idx="13">
                  <c:v>48630.926960954152</c:v>
                </c:pt>
                <c:pt idx="14">
                  <c:v>72943.297745335803</c:v>
                </c:pt>
                <c:pt idx="15">
                  <c:v>106980.61684347011</c:v>
                </c:pt>
                <c:pt idx="16">
                  <c:v>154632.86358085813</c:v>
                </c:pt>
                <c:pt idx="17">
                  <c:v>221346.00901320134</c:v>
                </c:pt>
                <c:pt idx="18">
                  <c:v>314744.41261848185</c:v>
                </c:pt>
              </c:numCache>
            </c:numRef>
          </c:val>
          <c:smooth val="0"/>
        </c:ser>
        <c:dLbls>
          <c:showLegendKey val="0"/>
          <c:showVal val="0"/>
          <c:showCatName val="0"/>
          <c:showSerName val="0"/>
          <c:showPercent val="0"/>
          <c:showBubbleSize val="0"/>
        </c:dLbls>
        <c:marker val="1"/>
        <c:smooth val="0"/>
        <c:axId val="108129664"/>
        <c:axId val="107795584"/>
      </c:lineChart>
      <c:dateAx>
        <c:axId val="108129664"/>
        <c:scaling>
          <c:orientation val="minMax"/>
        </c:scaling>
        <c:delete val="0"/>
        <c:axPos val="b"/>
        <c:numFmt formatCode="mmm\-yy" sourceLinked="1"/>
        <c:majorTickMark val="out"/>
        <c:minorTickMark val="none"/>
        <c:tickLblPos val="nextTo"/>
        <c:crossAx val="107795584"/>
        <c:crosses val="autoZero"/>
        <c:auto val="1"/>
        <c:lblOffset val="100"/>
        <c:baseTimeUnit val="months"/>
      </c:dateAx>
      <c:valAx>
        <c:axId val="107795584"/>
        <c:scaling>
          <c:orientation val="minMax"/>
        </c:scaling>
        <c:delete val="0"/>
        <c:axPos val="l"/>
        <c:majorGridlines>
          <c:spPr>
            <a:ln>
              <a:noFill/>
            </a:ln>
          </c:spPr>
        </c:majorGridlines>
        <c:numFmt formatCode="_-* #,##0\ _€_-;\-* #,##0\ _€_-;_-* &quot;-&quot;??\ _€_-;_-@_-" sourceLinked="1"/>
        <c:majorTickMark val="out"/>
        <c:minorTickMark val="none"/>
        <c:tickLblPos val="nextTo"/>
        <c:crossAx val="1081296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'2017'!$B$10:$M$10</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'2017'!$B$11:$M$11</c:f>
              <c:numCache>
                <c:formatCode>_-* #,##0\ _€_-;\-* #,##0\ _€_-;_-* "-"??\ _€_-;_-@_-</c:formatCode>
                <c:ptCount val="12"/>
                <c:pt idx="0">
                  <c:v>425888.51290876564</c:v>
                </c:pt>
                <c:pt idx="1">
                  <c:v>558149.99225420342</c:v>
                </c:pt>
                <c:pt idx="2">
                  <c:v>715541.15267527441</c:v>
                </c:pt>
                <c:pt idx="3">
                  <c:v>902836.63357634889</c:v>
                </c:pt>
                <c:pt idx="4">
                  <c:v>1125718.2558486275</c:v>
                </c:pt>
                <c:pt idx="5">
                  <c:v>1390947.3863526392</c:v>
                </c:pt>
                <c:pt idx="6">
                  <c:v>1713266.0516524131</c:v>
                </c:pt>
                <c:pt idx="7">
                  <c:v>2106869.2633591443</c:v>
                </c:pt>
                <c:pt idx="8">
                  <c:v>2575257.0852901544</c:v>
                </c:pt>
                <c:pt idx="9">
                  <c:v>3132638.5933880564</c:v>
                </c:pt>
                <c:pt idx="10">
                  <c:v>3795922.5880245594</c:v>
                </c:pt>
                <c:pt idx="11">
                  <c:v>4585230.5416419981</c:v>
                </c:pt>
              </c:numCache>
            </c:numRef>
          </c:val>
          <c:smooth val="0"/>
        </c:ser>
        <c:dLbls>
          <c:showLegendKey val="0"/>
          <c:showVal val="0"/>
          <c:showCatName val="0"/>
          <c:showSerName val="0"/>
          <c:showPercent val="0"/>
          <c:showBubbleSize val="0"/>
        </c:dLbls>
        <c:marker val="1"/>
        <c:smooth val="0"/>
        <c:axId val="108811392"/>
        <c:axId val="108812928"/>
      </c:lineChart>
      <c:dateAx>
        <c:axId val="108811392"/>
        <c:scaling>
          <c:orientation val="minMax"/>
        </c:scaling>
        <c:delete val="0"/>
        <c:axPos val="b"/>
        <c:numFmt formatCode="mmm\-yy" sourceLinked="1"/>
        <c:majorTickMark val="out"/>
        <c:minorTickMark val="none"/>
        <c:tickLblPos val="nextTo"/>
        <c:crossAx val="108812928"/>
        <c:crosses val="autoZero"/>
        <c:auto val="1"/>
        <c:lblOffset val="100"/>
        <c:baseTimeUnit val="months"/>
      </c:dateAx>
      <c:valAx>
        <c:axId val="108812928"/>
        <c:scaling>
          <c:orientation val="minMax"/>
        </c:scaling>
        <c:delete val="0"/>
        <c:axPos val="l"/>
        <c:majorGridlines>
          <c:spPr>
            <a:ln>
              <a:noFill/>
            </a:ln>
          </c:spPr>
        </c:majorGridlines>
        <c:numFmt formatCode="_-* #,##0\ _€_-;\-* #,##0\ _€_-;_-* &quot;-&quot;??\ _€_-;_-@_-" sourceLinked="1"/>
        <c:majorTickMark val="out"/>
        <c:minorTickMark val="none"/>
        <c:tickLblPos val="nextTo"/>
        <c:crossAx val="1088113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'2018'!$B$10:$M$10</c:f>
              <c:numCache>
                <c:formatCode>mmm\-yy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'2018'!$B$11:$M$11</c:f>
              <c:numCache>
                <c:formatCode>_(* #,##0.00_);_(* \(#,##0.00\);_(* "-"??_);_(@_)</c:formatCode>
                <c:ptCount val="12"/>
                <c:pt idx="0">
                  <c:v>8999299.7463960256</c:v>
                </c:pt>
                <c:pt idx="1">
                  <c:v>13464130.747004725</c:v>
                </c:pt>
                <c:pt idx="2">
                  <c:v>17980307.304120425</c:v>
                </c:pt>
                <c:pt idx="3">
                  <c:v>22548419.891642954</c:v>
                </c:pt>
                <c:pt idx="4">
                  <c:v>27169065.773921993</c:v>
                </c:pt>
                <c:pt idx="5">
                  <c:v>31842849.08384724</c:v>
                </c:pt>
                <c:pt idx="6">
                  <c:v>36587120.901836626</c:v>
                </c:pt>
                <c:pt idx="7">
                  <c:v>41402691.84573289</c:v>
                </c:pt>
                <c:pt idx="8">
                  <c:v>46273641.855483964</c:v>
                </c:pt>
                <c:pt idx="9">
                  <c:v>51200607.790347174</c:v>
                </c:pt>
                <c:pt idx="10">
                  <c:v>56184233.833461307</c:v>
                </c:pt>
                <c:pt idx="11">
                  <c:v>61225171.576071255</c:v>
                </c:pt>
              </c:numCache>
            </c:numRef>
          </c:val>
          <c:smooth val="0"/>
        </c:ser>
        <c:dLbls>
          <c:showLegendKey val="0"/>
          <c:showVal val="0"/>
          <c:showCatName val="0"/>
          <c:showSerName val="0"/>
          <c:showPercent val="0"/>
          <c:showBubbleSize val="0"/>
        </c:dLbls>
        <c:marker val="1"/>
        <c:smooth val="0"/>
        <c:axId val="108829312"/>
        <c:axId val="108888448"/>
      </c:lineChart>
      <c:dateAx>
        <c:axId val="108829312"/>
        <c:scaling>
          <c:orientation val="minMax"/>
        </c:scaling>
        <c:delete val="0"/>
        <c:axPos val="b"/>
        <c:numFmt formatCode="mmm\-yy" sourceLinked="1"/>
        <c:majorTickMark val="out"/>
        <c:minorTickMark val="none"/>
        <c:tickLblPos val="nextTo"/>
        <c:crossAx val="108888448"/>
        <c:crosses val="autoZero"/>
        <c:auto val="1"/>
        <c:lblOffset val="100"/>
        <c:baseTimeUnit val="months"/>
      </c:dateAx>
      <c:valAx>
        <c:axId val="108888448"/>
        <c:scaling>
          <c:orientation val="minMax"/>
        </c:scaling>
        <c:delete val="0"/>
        <c:axPos val="l"/>
        <c:majorGridlines>
          <c:spPr>
            <a:ln>
              <a:noFill/>
            </a:ln>
          </c:spPr>
        </c:majorGridlines>
        <c:numFmt formatCode="_(* #,##0.00_);_(* \(#,##0.00\);_(* &quot;-&quot;??_);_(@_)" sourceLinked="1"/>
        <c:majorTickMark val="out"/>
        <c:minorTickMark val="none"/>
        <c:tickLblPos val="nextTo"/>
        <c:spPr>
          <a:noFill/>
          <a:ln>
            <a:noFill/>
          </a:ln>
        </c:spPr>
        <c:crossAx val="10882931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'2018'!$B$10:$M$10</c:f>
              <c:numCache>
                <c:formatCode>mmm\-yy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'2018'!$B$11:$M$11</c:f>
              <c:numCache>
                <c:formatCode>_(* #,##0.00_);_(* \(#,##0.00\);_(* "-"??_);_(@_)</c:formatCode>
                <c:ptCount val="12"/>
                <c:pt idx="0">
                  <c:v>8999299.7463960256</c:v>
                </c:pt>
                <c:pt idx="1">
                  <c:v>13464130.747004725</c:v>
                </c:pt>
                <c:pt idx="2">
                  <c:v>17980307.304120425</c:v>
                </c:pt>
                <c:pt idx="3">
                  <c:v>22548419.891642954</c:v>
                </c:pt>
                <c:pt idx="4">
                  <c:v>27169065.773921993</c:v>
                </c:pt>
                <c:pt idx="5">
                  <c:v>31842849.08384724</c:v>
                </c:pt>
                <c:pt idx="6">
                  <c:v>36587120.901836626</c:v>
                </c:pt>
                <c:pt idx="7">
                  <c:v>41402691.84573289</c:v>
                </c:pt>
                <c:pt idx="8">
                  <c:v>46273641.855483964</c:v>
                </c:pt>
                <c:pt idx="9">
                  <c:v>51200607.790347174</c:v>
                </c:pt>
                <c:pt idx="10">
                  <c:v>56184233.833461307</c:v>
                </c:pt>
                <c:pt idx="11">
                  <c:v>61225171.576071255</c:v>
                </c:pt>
              </c:numCache>
            </c:numRef>
          </c:val>
          <c:smooth val="0"/>
        </c:ser>
        <c:dLbls>
          <c:showLegendKey val="0"/>
          <c:showVal val="0"/>
          <c:showCatName val="0"/>
          <c:showSerName val="0"/>
          <c:showPercent val="0"/>
          <c:showBubbleSize val="0"/>
        </c:dLbls>
        <c:marker val="1"/>
        <c:smooth val="0"/>
        <c:axId val="109035904"/>
        <c:axId val="109037440"/>
      </c:lineChart>
      <c:dateAx>
        <c:axId val="109035904"/>
        <c:scaling>
          <c:orientation val="minMax"/>
        </c:scaling>
        <c:delete val="0"/>
        <c:axPos val="b"/>
        <c:numFmt formatCode="mmm\-yy" sourceLinked="1"/>
        <c:majorTickMark val="out"/>
        <c:minorTickMark val="none"/>
        <c:tickLblPos val="nextTo"/>
        <c:crossAx val="109037440"/>
        <c:crosses val="autoZero"/>
        <c:auto val="1"/>
        <c:lblOffset val="100"/>
        <c:baseTimeUnit val="months"/>
      </c:dateAx>
      <c:valAx>
        <c:axId val="109037440"/>
        <c:scaling>
          <c:orientation val="minMax"/>
        </c:scaling>
        <c:delete val="0"/>
        <c:axPos val="l"/>
        <c:majorGridlines>
          <c:spPr>
            <a:ln>
              <a:noFill/>
            </a:ln>
          </c:spPr>
        </c:majorGridlines>
        <c:numFmt formatCode="_(* #,##0.00_);_(* \(#,##0.00\);_(* &quot;-&quot;??_);_(@_)" sourceLinked="1"/>
        <c:majorTickMark val="out"/>
        <c:minorTickMark val="none"/>
        <c:tickLblPos val="nextTo"/>
        <c:spPr>
          <a:noFill/>
          <a:ln>
            <a:noFill/>
          </a:ln>
        </c:spPr>
        <c:crossAx val="1090359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593911</xdr:colOff>
      <xdr:row>28</xdr:row>
      <xdr:rowOff>6724</xdr:rowOff>
    </xdr:from>
    <xdr:to>
      <xdr:col>9</xdr:col>
      <xdr:colOff>134471</xdr:colOff>
      <xdr:row>43</xdr:row>
      <xdr:rowOff>82924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280147</xdr:colOff>
      <xdr:row>16</xdr:row>
      <xdr:rowOff>122464</xdr:rowOff>
    </xdr:from>
    <xdr:to>
      <xdr:col>13</xdr:col>
      <xdr:colOff>489857</xdr:colOff>
      <xdr:row>74</xdr:row>
      <xdr:rowOff>0</xdr:rowOff>
    </xdr:to>
    <xdr:cxnSp macro="">
      <xdr:nvCxnSpPr>
        <xdr:cNvPr id="13" name="Straight Arrow Connector 12"/>
        <xdr:cNvCxnSpPr/>
      </xdr:nvCxnSpPr>
      <xdr:spPr>
        <a:xfrm flipH="1">
          <a:off x="3450611" y="2762250"/>
          <a:ext cx="12428925" cy="10640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14</xdr:row>
      <xdr:rowOff>62753</xdr:rowOff>
    </xdr:from>
    <xdr:to>
      <xdr:col>7</xdr:col>
      <xdr:colOff>459441</xdr:colOff>
      <xdr:row>28</xdr:row>
      <xdr:rowOff>138953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280148</xdr:colOff>
      <xdr:row>11</xdr:row>
      <xdr:rowOff>123265</xdr:rowOff>
    </xdr:from>
    <xdr:to>
      <xdr:col>8</xdr:col>
      <xdr:colOff>885265</xdr:colOff>
      <xdr:row>63</xdr:row>
      <xdr:rowOff>123265</xdr:rowOff>
    </xdr:to>
    <xdr:cxnSp macro="">
      <xdr:nvCxnSpPr>
        <xdr:cNvPr id="5" name="Straight Arrow Connector 4"/>
        <xdr:cNvCxnSpPr/>
      </xdr:nvCxnSpPr>
      <xdr:spPr>
        <a:xfrm flipH="1">
          <a:off x="5995148" y="2599765"/>
          <a:ext cx="2577352" cy="744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11205</xdr:colOff>
      <xdr:row>14</xdr:row>
      <xdr:rowOff>85164</xdr:rowOff>
    </xdr:from>
    <xdr:to>
      <xdr:col>7</xdr:col>
      <xdr:colOff>11206</xdr:colOff>
      <xdr:row>28</xdr:row>
      <xdr:rowOff>161364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291354</xdr:colOff>
      <xdr:row>11</xdr:row>
      <xdr:rowOff>67235</xdr:rowOff>
    </xdr:from>
    <xdr:to>
      <xdr:col>7</xdr:col>
      <xdr:colOff>571500</xdr:colOff>
      <xdr:row>55</xdr:row>
      <xdr:rowOff>156882</xdr:rowOff>
    </xdr:to>
    <xdr:cxnSp macro="">
      <xdr:nvCxnSpPr>
        <xdr:cNvPr id="4" name="Straight Arrow Connector 3"/>
        <xdr:cNvCxnSpPr/>
      </xdr:nvCxnSpPr>
      <xdr:spPr>
        <a:xfrm flipH="1">
          <a:off x="7552766" y="2554941"/>
          <a:ext cx="280146" cy="42918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11205</xdr:colOff>
      <xdr:row>14</xdr:row>
      <xdr:rowOff>85164</xdr:rowOff>
    </xdr:from>
    <xdr:to>
      <xdr:col>7</xdr:col>
      <xdr:colOff>11206</xdr:colOff>
      <xdr:row>28</xdr:row>
      <xdr:rowOff>161364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80493</xdr:colOff>
      <xdr:row>11</xdr:row>
      <xdr:rowOff>67235</xdr:rowOff>
    </xdr:from>
    <xdr:to>
      <xdr:col>7</xdr:col>
      <xdr:colOff>571500</xdr:colOff>
      <xdr:row>56</xdr:row>
      <xdr:rowOff>13416</xdr:rowOff>
    </xdr:to>
    <xdr:cxnSp macro="">
      <xdr:nvCxnSpPr>
        <xdr:cNvPr id="3" name="Straight Arrow Connector 2"/>
        <xdr:cNvCxnSpPr/>
      </xdr:nvCxnSpPr>
      <xdr:spPr>
        <a:xfrm flipH="1">
          <a:off x="8049296" y="2535686"/>
          <a:ext cx="491007" cy="8478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C3:Q27"/>
  <sheetViews>
    <sheetView tabSelected="1" zoomScale="60" zoomScaleNormal="60" workbookViewId="0">
      <selection activeCell="U4" sqref="U4"/>
    </sheetView>
  </sheetViews>
  <sheetFormatPr defaultRowHeight="15" x14ac:dyDescent="0.25"/>
  <cols>
    <col min="1" max="2" width="9.140625" style="1"/>
    <col min="3" max="3" width="35.7109375" style="1" bestFit="1" customWidth="1"/>
    <col min="4" max="4" width="27.5703125" style="1" bestFit="1" customWidth="1"/>
    <col min="5" max="5" width="17.28515625" style="1" bestFit="1" customWidth="1"/>
    <col min="6" max="13" width="9.140625" style="1"/>
    <col min="14" max="14" width="14.85546875" style="1" bestFit="1" customWidth="1"/>
    <col min="15" max="15" width="15.85546875" style="1" bestFit="1" customWidth="1"/>
    <col min="16" max="16" width="14" style="1" bestFit="1" customWidth="1"/>
    <col min="17" max="17" width="13.140625" style="1" bestFit="1" customWidth="1"/>
    <col min="18" max="16384" width="9.140625" style="1"/>
  </cols>
  <sheetData>
    <row r="3" spans="3:14" ht="49.5" customHeight="1" x14ac:dyDescent="0.25">
      <c r="C3" s="142" t="s">
        <v>53</v>
      </c>
      <c r="D3" s="142"/>
      <c r="E3" s="142"/>
      <c r="F3" s="142"/>
      <c r="G3" s="142"/>
      <c r="H3" s="142"/>
      <c r="I3" s="142"/>
      <c r="J3" s="142"/>
    </row>
    <row r="4" spans="3:14" ht="170.25" customHeight="1" x14ac:dyDescent="0.25">
      <c r="C4" s="141" t="s">
        <v>229</v>
      </c>
      <c r="D4" s="141"/>
      <c r="E4" s="141"/>
      <c r="F4" s="141"/>
      <c r="G4" s="141"/>
      <c r="H4" s="141"/>
      <c r="I4" s="141"/>
      <c r="J4" s="136"/>
    </row>
    <row r="5" spans="3:14" ht="50.25" customHeight="1" x14ac:dyDescent="0.25">
      <c r="C5" s="147" t="s">
        <v>230</v>
      </c>
      <c r="D5" s="147"/>
      <c r="E5" s="147"/>
      <c r="F5" s="147"/>
      <c r="G5" s="147"/>
      <c r="H5" s="147"/>
      <c r="I5" s="147"/>
      <c r="J5" s="147"/>
    </row>
    <row r="6" spans="3:14" ht="33" customHeight="1" x14ac:dyDescent="0.25">
      <c r="C6" s="139"/>
      <c r="D6" s="139"/>
      <c r="E6" s="139"/>
      <c r="F6" s="139"/>
      <c r="G6" s="139"/>
      <c r="H6" s="139"/>
      <c r="I6" s="139"/>
      <c r="J6" s="139"/>
    </row>
    <row r="7" spans="3:14" x14ac:dyDescent="0.25">
      <c r="C7" s="25"/>
      <c r="D7" s="25"/>
      <c r="E7" s="25"/>
      <c r="F7" s="25"/>
      <c r="G7" s="25"/>
      <c r="H7" s="25"/>
      <c r="I7" s="25"/>
      <c r="J7" s="25"/>
    </row>
    <row r="8" spans="3:14" ht="60.75" customHeight="1" x14ac:dyDescent="0.25">
      <c r="C8" s="141" t="s">
        <v>39</v>
      </c>
      <c r="D8" s="141"/>
      <c r="E8" s="141"/>
      <c r="F8" s="141"/>
      <c r="G8" s="141"/>
      <c r="H8" s="141"/>
      <c r="I8" s="141"/>
      <c r="J8" s="141"/>
    </row>
    <row r="9" spans="3:14" x14ac:dyDescent="0.25">
      <c r="D9" s="4"/>
    </row>
    <row r="10" spans="3:14" ht="75" customHeight="1" x14ac:dyDescent="0.25">
      <c r="C10" s="141" t="s">
        <v>183</v>
      </c>
      <c r="D10" s="141"/>
      <c r="E10" s="141"/>
      <c r="F10" s="141"/>
      <c r="G10" s="141"/>
      <c r="H10" s="141"/>
      <c r="I10" s="141"/>
      <c r="J10" s="141"/>
    </row>
    <row r="11" spans="3:14" x14ac:dyDescent="0.25">
      <c r="C11" s="25"/>
      <c r="D11" s="25"/>
      <c r="E11" s="25"/>
      <c r="F11" s="25"/>
      <c r="G11" s="25"/>
      <c r="H11" s="25"/>
      <c r="I11" s="25"/>
      <c r="J11" s="25"/>
    </row>
    <row r="12" spans="3:14" ht="56.25" customHeight="1" x14ac:dyDescent="0.25">
      <c r="D12" s="12" t="s">
        <v>32</v>
      </c>
      <c r="E12" s="12" t="s">
        <v>33</v>
      </c>
      <c r="F12" s="143" t="s">
        <v>34</v>
      </c>
      <c r="G12" s="143"/>
    </row>
    <row r="13" spans="3:14" x14ac:dyDescent="0.25">
      <c r="C13" s="12" t="s">
        <v>31</v>
      </c>
      <c r="D13" s="46">
        <v>18000</v>
      </c>
      <c r="E13" s="13">
        <v>2000000</v>
      </c>
      <c r="F13" s="144">
        <f>+D13/E13</f>
        <v>8.9999999999999993E-3</v>
      </c>
      <c r="G13" s="144"/>
      <c r="H13" s="50" t="s">
        <v>37</v>
      </c>
      <c r="I13" s="49"/>
      <c r="J13" s="49"/>
      <c r="K13" s="49"/>
      <c r="L13" s="49"/>
      <c r="M13" s="49"/>
    </row>
    <row r="14" spans="3:14" ht="15" customHeight="1" x14ac:dyDescent="0.25">
      <c r="C14" s="12" t="s">
        <v>35</v>
      </c>
      <c r="D14" s="47">
        <v>0.5</v>
      </c>
      <c r="E14" s="48" t="s">
        <v>36</v>
      </c>
      <c r="F14" s="145">
        <f>+D14/1</f>
        <v>0.5</v>
      </c>
      <c r="G14" s="145"/>
      <c r="H14" s="146" t="s">
        <v>40</v>
      </c>
      <c r="I14" s="146"/>
      <c r="J14" s="146"/>
      <c r="K14" s="146"/>
      <c r="L14" s="146"/>
      <c r="M14" s="146"/>
      <c r="N14" s="146"/>
    </row>
    <row r="15" spans="3:14" x14ac:dyDescent="0.25">
      <c r="H15" s="146"/>
      <c r="I15" s="146"/>
      <c r="J15" s="146"/>
      <c r="K15" s="146"/>
      <c r="L15" s="146"/>
      <c r="M15" s="146"/>
      <c r="N15" s="146"/>
    </row>
    <row r="16" spans="3:14" x14ac:dyDescent="0.25">
      <c r="H16" s="146"/>
      <c r="I16" s="146"/>
      <c r="J16" s="146"/>
      <c r="K16" s="146"/>
      <c r="L16" s="146"/>
      <c r="M16" s="146"/>
      <c r="N16" s="146"/>
    </row>
    <row r="17" spans="3:17" x14ac:dyDescent="0.25">
      <c r="H17" s="146"/>
      <c r="I17" s="146"/>
      <c r="J17" s="146"/>
      <c r="K17" s="146"/>
      <c r="L17" s="146"/>
      <c r="M17" s="146"/>
      <c r="N17" s="146"/>
    </row>
    <row r="18" spans="3:17" x14ac:dyDescent="0.25">
      <c r="H18" s="146"/>
      <c r="I18" s="146"/>
      <c r="J18" s="146"/>
      <c r="K18" s="146"/>
      <c r="L18" s="146"/>
      <c r="M18" s="146"/>
      <c r="N18" s="146"/>
    </row>
    <row r="19" spans="3:17" x14ac:dyDescent="0.25">
      <c r="N19" s="56"/>
    </row>
    <row r="20" spans="3:17" ht="69" customHeight="1" x14ac:dyDescent="0.25">
      <c r="C20" s="141" t="s">
        <v>38</v>
      </c>
      <c r="D20" s="141"/>
      <c r="E20" s="141"/>
      <c r="F20" s="141"/>
      <c r="G20" s="141"/>
      <c r="H20" s="141"/>
      <c r="I20" s="141"/>
      <c r="J20" s="141"/>
      <c r="N20" s="56"/>
      <c r="O20" s="56"/>
      <c r="P20" s="56"/>
      <c r="Q20" s="65"/>
    </row>
    <row r="21" spans="3:17" x14ac:dyDescent="0.25">
      <c r="C21" s="49"/>
      <c r="D21" s="49"/>
      <c r="E21" s="49"/>
      <c r="F21" s="49"/>
      <c r="G21" s="49"/>
      <c r="H21" s="49"/>
      <c r="I21" s="49"/>
      <c r="J21" s="49"/>
      <c r="N21" s="56"/>
      <c r="O21" s="56"/>
      <c r="P21" s="56"/>
    </row>
    <row r="22" spans="3:17" x14ac:dyDescent="0.25">
      <c r="N22" s="56"/>
      <c r="O22" s="56"/>
      <c r="P22" s="56"/>
    </row>
    <row r="23" spans="3:17" x14ac:dyDescent="0.25">
      <c r="N23" s="56"/>
    </row>
    <row r="24" spans="3:17" ht="91.5" customHeight="1" x14ac:dyDescent="0.25">
      <c r="C24" s="141" t="s">
        <v>54</v>
      </c>
      <c r="D24" s="141"/>
      <c r="E24" s="141"/>
      <c r="F24" s="141"/>
      <c r="G24" s="141"/>
      <c r="H24" s="141"/>
      <c r="I24" s="141"/>
      <c r="J24" s="141"/>
      <c r="N24" s="56"/>
    </row>
    <row r="25" spans="3:17" x14ac:dyDescent="0.25">
      <c r="C25" s="49"/>
      <c r="D25" s="49"/>
      <c r="E25" s="49"/>
      <c r="F25" s="49"/>
      <c r="G25" s="49"/>
      <c r="H25" s="49"/>
      <c r="I25" s="49"/>
      <c r="J25" s="49"/>
    </row>
    <row r="27" spans="3:17" ht="31.5" customHeight="1" x14ac:dyDescent="0.25">
      <c r="C27" s="141" t="s">
        <v>184</v>
      </c>
      <c r="D27" s="141"/>
      <c r="E27" s="141"/>
      <c r="F27" s="141"/>
      <c r="G27" s="141"/>
      <c r="H27" s="141"/>
      <c r="I27" s="141"/>
      <c r="J27" s="141"/>
    </row>
  </sheetData>
  <mergeCells count="12">
    <mergeCell ref="C27:J27"/>
    <mergeCell ref="C24:J24"/>
    <mergeCell ref="C20:J20"/>
    <mergeCell ref="C3:J3"/>
    <mergeCell ref="C8:J8"/>
    <mergeCell ref="C10:J10"/>
    <mergeCell ref="F12:G12"/>
    <mergeCell ref="F13:G13"/>
    <mergeCell ref="F14:G14"/>
    <mergeCell ref="H14:N18"/>
    <mergeCell ref="C4:I4"/>
    <mergeCell ref="C5:J5"/>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9" tint="-0.249977111117893"/>
  </sheetPr>
  <dimension ref="C4:I54"/>
  <sheetViews>
    <sheetView topLeftCell="B1" zoomScale="78" zoomScaleNormal="78" workbookViewId="0">
      <selection activeCell="I42" sqref="I42"/>
    </sheetView>
  </sheetViews>
  <sheetFormatPr defaultRowHeight="15" x14ac:dyDescent="0.25"/>
  <cols>
    <col min="1" max="2" width="9.140625" style="1"/>
    <col min="3" max="3" width="61.5703125" style="1" bestFit="1" customWidth="1"/>
    <col min="4" max="4" width="12.42578125" style="1" bestFit="1" customWidth="1"/>
    <col min="5" max="5" width="12.5703125" style="1" bestFit="1" customWidth="1"/>
    <col min="6" max="7" width="15" style="1" bestFit="1" customWidth="1"/>
    <col min="8" max="8" width="15.42578125" style="1" bestFit="1" customWidth="1"/>
    <col min="9" max="9" width="15.140625" style="1" bestFit="1" customWidth="1"/>
    <col min="10" max="16384" width="9.140625" style="1"/>
  </cols>
  <sheetData>
    <row r="4" spans="3:9" ht="15.75" x14ac:dyDescent="0.25">
      <c r="C4" s="93" t="s">
        <v>157</v>
      </c>
      <c r="D4" s="93" t="s">
        <v>57</v>
      </c>
      <c r="E4" s="94">
        <v>2016</v>
      </c>
      <c r="F4" s="94">
        <v>2017</v>
      </c>
      <c r="G4" s="94">
        <v>2018</v>
      </c>
      <c r="H4" s="94">
        <v>2019</v>
      </c>
      <c r="I4" s="84" t="s">
        <v>58</v>
      </c>
    </row>
    <row r="5" spans="3:9" x14ac:dyDescent="0.25">
      <c r="C5" s="95" t="s">
        <v>158</v>
      </c>
      <c r="D5" s="95"/>
      <c r="E5" s="96">
        <f>+'2015-2016'!I68</f>
        <v>5544.9146201788908</v>
      </c>
      <c r="F5" s="96">
        <f>+'2017'!H54</f>
        <v>119935.00073992502</v>
      </c>
      <c r="G5" s="96">
        <f>+'2018'!H47</f>
        <v>1767996.7261561891</v>
      </c>
      <c r="H5" s="96">
        <f>+'2019'!H47</f>
        <v>16000798.76550819</v>
      </c>
      <c r="I5" s="74">
        <f t="shared" ref="I5:I34" si="0">+(ABS(E5))+ABS(F5)+ABS(G5)+ABS(H5)</f>
        <v>17894275.407024484</v>
      </c>
    </row>
    <row r="6" spans="3:9" ht="15" hidden="1" customHeight="1" x14ac:dyDescent="0.25">
      <c r="C6" s="95" t="s">
        <v>159</v>
      </c>
      <c r="D6" s="95"/>
      <c r="E6" s="96">
        <v>0</v>
      </c>
      <c r="F6" s="96">
        <v>0</v>
      </c>
      <c r="G6" s="96">
        <v>0</v>
      </c>
      <c r="H6" s="96">
        <v>0</v>
      </c>
      <c r="I6" s="74">
        <f t="shared" si="0"/>
        <v>0</v>
      </c>
    </row>
    <row r="7" spans="3:9" ht="15" hidden="1" customHeight="1" x14ac:dyDescent="0.25">
      <c r="C7" s="95" t="s">
        <v>160</v>
      </c>
      <c r="D7" s="95"/>
      <c r="E7" s="96">
        <v>0</v>
      </c>
      <c r="F7" s="96">
        <v>0</v>
      </c>
      <c r="G7" s="96">
        <v>0</v>
      </c>
      <c r="H7" s="96">
        <v>0</v>
      </c>
      <c r="I7" s="74">
        <f t="shared" si="0"/>
        <v>0</v>
      </c>
    </row>
    <row r="8" spans="3:9" x14ac:dyDescent="0.25">
      <c r="C8" s="95" t="s">
        <v>161</v>
      </c>
      <c r="D8" s="95"/>
      <c r="E8" s="96">
        <f>-D$54*SUM('2015-2016'!J15:U15)/12</f>
        <v>-705.31303974769924</v>
      </c>
      <c r="F8" s="96">
        <f>-D54*(SUM('2017'!B11:M11))/12</f>
        <v>-15991.851428452908</v>
      </c>
      <c r="G8" s="96">
        <f>-D54*SUM('2017'!B11:M11)/12</f>
        <v>-15991.851428452908</v>
      </c>
      <c r="H8" s="96">
        <f>-D54*SUM('2019'!B11:M11)/12</f>
        <v>-2294836.3170457003</v>
      </c>
      <c r="I8" s="74">
        <f t="shared" si="0"/>
        <v>2327525.3329423536</v>
      </c>
    </row>
    <row r="9" spans="3:9" ht="15" hidden="1" customHeight="1" x14ac:dyDescent="0.25">
      <c r="C9" s="95" t="s">
        <v>162</v>
      </c>
      <c r="D9" s="95"/>
      <c r="E9" s="96">
        <v>0</v>
      </c>
      <c r="F9" s="96">
        <v>0</v>
      </c>
      <c r="G9" s="96">
        <v>0</v>
      </c>
      <c r="H9" s="96">
        <v>0</v>
      </c>
      <c r="I9" s="74">
        <f t="shared" si="0"/>
        <v>0</v>
      </c>
    </row>
    <row r="10" spans="3:9" x14ac:dyDescent="0.25">
      <c r="C10" s="95" t="s">
        <v>163</v>
      </c>
      <c r="D10" s="97"/>
      <c r="E10" s="96">
        <f>-D41*6-D42*6</f>
        <v>-4405.1279999999997</v>
      </c>
      <c r="F10" s="96">
        <f>-(D42*6+D43*6)*1.035</f>
        <v>-7815.9556799999973</v>
      </c>
      <c r="G10" s="96">
        <f>-D44*12*1.035</f>
        <v>-13026.592799999997</v>
      </c>
      <c r="H10" s="96">
        <f>+G10*1.035</f>
        <v>-13482.523547999996</v>
      </c>
      <c r="I10" s="74">
        <f t="shared" si="0"/>
        <v>38730.200027999992</v>
      </c>
    </row>
    <row r="11" spans="3:9" x14ac:dyDescent="0.25">
      <c r="C11" s="95" t="s">
        <v>164</v>
      </c>
      <c r="D11" s="97"/>
      <c r="E11" s="96">
        <f>-'2015-2016'!I111-D51</f>
        <v>-20060</v>
      </c>
      <c r="F11" s="96">
        <f>-'2017'!I86-D51</f>
        <v>-41180</v>
      </c>
      <c r="G11" s="96">
        <f>-'2018'!J79-D51</f>
        <v>-70940</v>
      </c>
      <c r="H11" s="96">
        <f>-'2019'!J79-D51</f>
        <v>-82844</v>
      </c>
      <c r="I11" s="74">
        <f t="shared" si="0"/>
        <v>215024</v>
      </c>
    </row>
    <row r="12" spans="3:9" x14ac:dyDescent="0.25">
      <c r="C12" s="95" t="s">
        <v>165</v>
      </c>
      <c r="D12" s="95"/>
      <c r="E12" s="96">
        <f>-Activo!I97</f>
        <v>-237.5</v>
      </c>
      <c r="F12" s="96">
        <f>-Activo!J97</f>
        <v>-362.5</v>
      </c>
      <c r="G12" s="96">
        <f>-Activo!K97</f>
        <v>-362.5</v>
      </c>
      <c r="H12" s="96">
        <f>-Activo!L97</f>
        <v>-362.5</v>
      </c>
      <c r="I12" s="74">
        <f t="shared" si="0"/>
        <v>1325</v>
      </c>
    </row>
    <row r="13" spans="3:9" ht="15" hidden="1" customHeight="1" x14ac:dyDescent="0.25">
      <c r="C13" s="95" t="s">
        <v>166</v>
      </c>
      <c r="D13" s="95"/>
      <c r="E13" s="96">
        <v>0</v>
      </c>
      <c r="F13" s="96">
        <v>0</v>
      </c>
      <c r="G13" s="96">
        <v>0</v>
      </c>
      <c r="H13" s="96">
        <v>0</v>
      </c>
      <c r="I13" s="74">
        <f t="shared" si="0"/>
        <v>0</v>
      </c>
    </row>
    <row r="14" spans="3:9" ht="15" hidden="1" customHeight="1" x14ac:dyDescent="0.25">
      <c r="C14" s="95" t="s">
        <v>167</v>
      </c>
      <c r="D14" s="95"/>
      <c r="E14" s="96">
        <v>0</v>
      </c>
      <c r="F14" s="96">
        <v>0</v>
      </c>
      <c r="G14" s="96">
        <v>0</v>
      </c>
      <c r="H14" s="96">
        <v>0</v>
      </c>
      <c r="I14" s="74">
        <f t="shared" si="0"/>
        <v>0</v>
      </c>
    </row>
    <row r="15" spans="3:9" ht="15" hidden="1" customHeight="1" x14ac:dyDescent="0.25">
      <c r="C15" s="95" t="s">
        <v>168</v>
      </c>
      <c r="D15" s="95"/>
      <c r="E15" s="96">
        <v>0</v>
      </c>
      <c r="F15" s="96">
        <v>0</v>
      </c>
      <c r="G15" s="96">
        <v>0</v>
      </c>
      <c r="H15" s="96">
        <v>0</v>
      </c>
      <c r="I15" s="74">
        <f t="shared" si="0"/>
        <v>0</v>
      </c>
    </row>
    <row r="16" spans="3:9" ht="15" hidden="1" customHeight="1" x14ac:dyDescent="0.25">
      <c r="C16" s="95" t="s">
        <v>169</v>
      </c>
      <c r="D16" s="95"/>
      <c r="E16" s="96">
        <v>0</v>
      </c>
      <c r="F16" s="96">
        <v>0</v>
      </c>
      <c r="G16" s="96">
        <v>0</v>
      </c>
      <c r="H16" s="96">
        <v>0</v>
      </c>
      <c r="I16" s="74">
        <f t="shared" si="0"/>
        <v>0</v>
      </c>
    </row>
    <row r="17" spans="3:9" ht="15" hidden="1" customHeight="1" x14ac:dyDescent="0.25">
      <c r="C17" s="98" t="s">
        <v>170</v>
      </c>
      <c r="D17" s="98"/>
      <c r="E17" s="99">
        <v>0</v>
      </c>
      <c r="F17" s="99">
        <v>0</v>
      </c>
      <c r="G17" s="99">
        <v>0</v>
      </c>
      <c r="H17" s="99">
        <v>0</v>
      </c>
      <c r="I17" s="74">
        <f t="shared" si="0"/>
        <v>0</v>
      </c>
    </row>
    <row r="18" spans="3:9" ht="15" hidden="1" customHeight="1" x14ac:dyDescent="0.25">
      <c r="C18" s="98" t="s">
        <v>171</v>
      </c>
      <c r="D18" s="98"/>
      <c r="E18" s="99">
        <v>0</v>
      </c>
      <c r="F18" s="99">
        <v>0</v>
      </c>
      <c r="G18" s="99">
        <v>0</v>
      </c>
      <c r="H18" s="99">
        <v>0</v>
      </c>
      <c r="I18" s="74">
        <f t="shared" si="0"/>
        <v>0</v>
      </c>
    </row>
    <row r="19" spans="3:9" ht="15" hidden="1" customHeight="1" x14ac:dyDescent="0.25">
      <c r="C19" s="100"/>
      <c r="D19" s="100"/>
      <c r="E19" s="96"/>
      <c r="F19" s="96"/>
      <c r="G19" s="96"/>
      <c r="H19" s="96"/>
      <c r="I19" s="74">
        <f t="shared" si="0"/>
        <v>0</v>
      </c>
    </row>
    <row r="20" spans="3:9" x14ac:dyDescent="0.25">
      <c r="C20" s="101" t="s">
        <v>172</v>
      </c>
      <c r="D20" s="101"/>
      <c r="E20" s="102">
        <f>SUM(E5:E19)</f>
        <v>-19863.026419568807</v>
      </c>
      <c r="F20" s="102">
        <f>SUM(F5:F19)</f>
        <v>54584.69363147211</v>
      </c>
      <c r="G20" s="102">
        <f>SUM(G5:G19)</f>
        <v>1667675.7819277362</v>
      </c>
      <c r="H20" s="102">
        <f>SUM(H5:H19)</f>
        <v>13609273.42491449</v>
      </c>
      <c r="I20" s="74">
        <f t="shared" si="0"/>
        <v>15351396.926893268</v>
      </c>
    </row>
    <row r="21" spans="3:9" ht="15" hidden="1" customHeight="1" x14ac:dyDescent="0.25">
      <c r="C21" s="100"/>
      <c r="D21" s="100"/>
      <c r="E21" s="96"/>
      <c r="F21" s="96"/>
      <c r="G21" s="96"/>
      <c r="H21" s="96"/>
      <c r="I21" s="74">
        <f t="shared" si="0"/>
        <v>0</v>
      </c>
    </row>
    <row r="22" spans="3:9" ht="15" hidden="1" customHeight="1" x14ac:dyDescent="0.25">
      <c r="C22" s="95" t="s">
        <v>173</v>
      </c>
      <c r="D22" s="95"/>
      <c r="E22" s="96">
        <v>0</v>
      </c>
      <c r="F22" s="96">
        <v>0</v>
      </c>
      <c r="G22" s="96">
        <v>0</v>
      </c>
      <c r="H22" s="96">
        <v>0</v>
      </c>
      <c r="I22" s="74">
        <f t="shared" si="0"/>
        <v>0</v>
      </c>
    </row>
    <row r="23" spans="3:9" ht="15" hidden="1" customHeight="1" x14ac:dyDescent="0.25">
      <c r="C23" s="95" t="s">
        <v>174</v>
      </c>
      <c r="D23" s="95"/>
      <c r="E23" s="96">
        <v>0</v>
      </c>
      <c r="F23" s="96">
        <v>0</v>
      </c>
      <c r="G23" s="96">
        <v>0</v>
      </c>
      <c r="H23" s="96">
        <v>0</v>
      </c>
      <c r="I23" s="74">
        <f t="shared" si="0"/>
        <v>0</v>
      </c>
    </row>
    <row r="24" spans="3:9" ht="15" hidden="1" customHeight="1" x14ac:dyDescent="0.25">
      <c r="C24" s="95" t="s">
        <v>175</v>
      </c>
      <c r="D24" s="95"/>
      <c r="E24" s="96">
        <v>0</v>
      </c>
      <c r="F24" s="96">
        <v>0</v>
      </c>
      <c r="G24" s="96">
        <v>0</v>
      </c>
      <c r="H24" s="96">
        <v>0</v>
      </c>
      <c r="I24" s="74">
        <f t="shared" si="0"/>
        <v>0</v>
      </c>
    </row>
    <row r="25" spans="3:9" ht="15" hidden="1" customHeight="1" x14ac:dyDescent="0.25">
      <c r="C25" s="95" t="s">
        <v>176</v>
      </c>
      <c r="D25" s="95"/>
      <c r="E25" s="96">
        <v>0</v>
      </c>
      <c r="F25" s="96">
        <v>0</v>
      </c>
      <c r="G25" s="96">
        <v>0</v>
      </c>
      <c r="H25" s="96">
        <v>0</v>
      </c>
      <c r="I25" s="74">
        <f t="shared" si="0"/>
        <v>0</v>
      </c>
    </row>
    <row r="26" spans="3:9" ht="15" hidden="1" customHeight="1" x14ac:dyDescent="0.25">
      <c r="C26" s="95" t="s">
        <v>177</v>
      </c>
      <c r="D26" s="95"/>
      <c r="E26" s="96">
        <v>0</v>
      </c>
      <c r="F26" s="96">
        <v>0</v>
      </c>
      <c r="G26" s="96">
        <v>0</v>
      </c>
      <c r="H26" s="96">
        <v>0</v>
      </c>
      <c r="I26" s="74">
        <f t="shared" si="0"/>
        <v>0</v>
      </c>
    </row>
    <row r="27" spans="3:9" ht="15" hidden="1" customHeight="1" x14ac:dyDescent="0.25">
      <c r="C27" s="98"/>
      <c r="D27" s="98"/>
      <c r="E27" s="99"/>
      <c r="F27" s="99"/>
      <c r="G27" s="99"/>
      <c r="H27" s="99"/>
      <c r="I27" s="74">
        <f t="shared" si="0"/>
        <v>0</v>
      </c>
    </row>
    <row r="28" spans="3:9" ht="15" hidden="1" customHeight="1" x14ac:dyDescent="0.25">
      <c r="C28" s="101" t="s">
        <v>178</v>
      </c>
      <c r="D28" s="101"/>
      <c r="E28" s="102">
        <f>SUM(E22:E26)</f>
        <v>0</v>
      </c>
      <c r="F28" s="102">
        <f>SUM(F22:F26)</f>
        <v>0</v>
      </c>
      <c r="G28" s="102">
        <f>SUM(G22:G26)</f>
        <v>0</v>
      </c>
      <c r="H28" s="102">
        <f>SUM(H22:H26)</f>
        <v>0</v>
      </c>
      <c r="I28" s="74">
        <f t="shared" si="0"/>
        <v>0</v>
      </c>
    </row>
    <row r="29" spans="3:9" ht="15" hidden="1" customHeight="1" x14ac:dyDescent="0.25">
      <c r="C29" s="98"/>
      <c r="D29" s="98"/>
      <c r="E29" s="99"/>
      <c r="F29" s="99"/>
      <c r="G29" s="99"/>
      <c r="H29" s="99"/>
      <c r="I29" s="74">
        <f t="shared" si="0"/>
        <v>0</v>
      </c>
    </row>
    <row r="30" spans="3:9" x14ac:dyDescent="0.25">
      <c r="C30" s="101" t="s">
        <v>179</v>
      </c>
      <c r="D30" s="101"/>
      <c r="E30" s="102">
        <f>E20+E28</f>
        <v>-19863.026419568807</v>
      </c>
      <c r="F30" s="102">
        <f>F20+F28</f>
        <v>54584.69363147211</v>
      </c>
      <c r="G30" s="102">
        <f>G20+G28</f>
        <v>1667675.7819277362</v>
      </c>
      <c r="H30" s="102">
        <f>H20+H28</f>
        <v>13609273.42491449</v>
      </c>
      <c r="I30" s="74">
        <f t="shared" si="0"/>
        <v>15351396.926893268</v>
      </c>
    </row>
    <row r="31" spans="3:9" ht="15" hidden="1" customHeight="1" x14ac:dyDescent="0.25">
      <c r="C31" s="98"/>
      <c r="D31" s="98"/>
      <c r="E31" s="99"/>
      <c r="F31" s="99"/>
      <c r="G31" s="99"/>
      <c r="H31" s="99"/>
      <c r="I31" s="74">
        <f t="shared" si="0"/>
        <v>0</v>
      </c>
    </row>
    <row r="32" spans="3:9" x14ac:dyDescent="0.25">
      <c r="C32" s="95" t="s">
        <v>180</v>
      </c>
      <c r="D32" s="97"/>
      <c r="E32" s="96">
        <f>-E30*0.25</f>
        <v>4965.7566048922017</v>
      </c>
      <c r="F32" s="96">
        <f t="shared" ref="F32:H32" si="1">-F30*0.25</f>
        <v>-13646.173407868027</v>
      </c>
      <c r="G32" s="96">
        <f t="shared" si="1"/>
        <v>-416918.94548193406</v>
      </c>
      <c r="H32" s="96">
        <f t="shared" si="1"/>
        <v>-3402318.3562286226</v>
      </c>
      <c r="I32" s="74">
        <f t="shared" si="0"/>
        <v>3837849.2317233169</v>
      </c>
    </row>
    <row r="33" spans="3:9" ht="15" hidden="1" customHeight="1" x14ac:dyDescent="0.25">
      <c r="C33" s="100"/>
      <c r="D33" s="100"/>
      <c r="E33" s="96"/>
      <c r="F33" s="96"/>
      <c r="G33" s="96"/>
      <c r="H33" s="96"/>
      <c r="I33" s="74">
        <f t="shared" si="0"/>
        <v>0</v>
      </c>
    </row>
    <row r="34" spans="3:9" x14ac:dyDescent="0.25">
      <c r="C34" s="101" t="s">
        <v>181</v>
      </c>
      <c r="D34" s="101"/>
      <c r="E34" s="102">
        <f>E30+E32</f>
        <v>-14897.269814676605</v>
      </c>
      <c r="F34" s="102">
        <f>F30+F32</f>
        <v>40938.520223604079</v>
      </c>
      <c r="G34" s="102">
        <f>G30+G32</f>
        <v>1250756.8364458021</v>
      </c>
      <c r="H34" s="102">
        <f>H30+H32</f>
        <v>10206955.068685867</v>
      </c>
      <c r="I34" s="74">
        <f t="shared" si="0"/>
        <v>11513547.69516995</v>
      </c>
    </row>
    <row r="36" spans="3:9" x14ac:dyDescent="0.25">
      <c r="E36" s="74"/>
      <c r="F36" s="74"/>
      <c r="G36" s="74"/>
      <c r="H36" s="74"/>
    </row>
    <row r="37" spans="3:9" x14ac:dyDescent="0.25">
      <c r="C37" s="106"/>
      <c r="D37" s="107"/>
      <c r="E37" s="107"/>
      <c r="F37" s="107"/>
      <c r="G37" s="107"/>
      <c r="H37" s="108"/>
    </row>
    <row r="38" spans="3:9" x14ac:dyDescent="0.25">
      <c r="C38" s="109"/>
      <c r="D38" s="3"/>
      <c r="E38" s="3"/>
      <c r="F38" s="3"/>
      <c r="G38" s="3"/>
      <c r="H38" s="110"/>
    </row>
    <row r="39" spans="3:9" x14ac:dyDescent="0.25">
      <c r="C39" s="109" t="s">
        <v>187</v>
      </c>
      <c r="D39" s="32">
        <v>4</v>
      </c>
      <c r="E39" s="3"/>
      <c r="F39" s="3"/>
      <c r="G39" s="3"/>
      <c r="H39" s="110"/>
    </row>
    <row r="40" spans="3:9" x14ac:dyDescent="0.25">
      <c r="C40" s="109" t="s">
        <v>182</v>
      </c>
      <c r="D40" s="32"/>
      <c r="E40" s="32"/>
      <c r="F40" s="3"/>
      <c r="G40" s="3"/>
      <c r="H40" s="110"/>
    </row>
    <row r="41" spans="3:9" x14ac:dyDescent="0.25">
      <c r="C41" s="109" t="s">
        <v>188</v>
      </c>
      <c r="D41" s="32">
        <f>262.21*0.2*D39</f>
        <v>209.768</v>
      </c>
      <c r="E41" s="32"/>
      <c r="F41" s="3"/>
      <c r="G41" s="3"/>
      <c r="H41" s="110"/>
    </row>
    <row r="42" spans="3:9" x14ac:dyDescent="0.25">
      <c r="C42" s="109" t="s">
        <v>189</v>
      </c>
      <c r="D42" s="32">
        <f>262.21*0.5*D39</f>
        <v>524.41999999999996</v>
      </c>
      <c r="E42" s="32"/>
      <c r="F42" s="3"/>
      <c r="G42" s="3"/>
      <c r="H42" s="110"/>
    </row>
    <row r="43" spans="3:9" x14ac:dyDescent="0.25">
      <c r="C43" s="109" t="s">
        <v>190</v>
      </c>
      <c r="D43" s="32">
        <f>262.21*0.7*D39</f>
        <v>734.18799999999987</v>
      </c>
      <c r="E43" s="3"/>
      <c r="F43" s="3"/>
      <c r="G43" s="3"/>
      <c r="H43" s="110"/>
    </row>
    <row r="44" spans="3:9" x14ac:dyDescent="0.25">
      <c r="C44" s="109" t="s">
        <v>191</v>
      </c>
      <c r="D44" s="32">
        <f>262.21*D39</f>
        <v>1048.8399999999999</v>
      </c>
      <c r="E44" s="3"/>
      <c r="F44" s="3"/>
      <c r="G44" s="3"/>
      <c r="H44" s="110"/>
    </row>
    <row r="45" spans="3:9" x14ac:dyDescent="0.25">
      <c r="C45" s="50"/>
      <c r="D45" s="53"/>
      <c r="E45" s="49"/>
      <c r="F45" s="49"/>
      <c r="G45" s="49"/>
      <c r="H45" s="111"/>
    </row>
    <row r="46" spans="3:9" x14ac:dyDescent="0.25">
      <c r="D46" s="32"/>
    </row>
    <row r="47" spans="3:9" x14ac:dyDescent="0.25">
      <c r="C47" s="106" t="s">
        <v>222</v>
      </c>
      <c r="D47" s="107"/>
      <c r="E47" s="107"/>
      <c r="F47" s="107"/>
      <c r="G47" s="107"/>
      <c r="H47" s="108"/>
    </row>
    <row r="48" spans="3:9" x14ac:dyDescent="0.25">
      <c r="C48" s="109" t="s">
        <v>223</v>
      </c>
      <c r="D48" s="32">
        <v>500</v>
      </c>
      <c r="E48" s="3"/>
      <c r="F48" s="3"/>
      <c r="G48" s="3"/>
      <c r="H48" s="110"/>
    </row>
    <row r="49" spans="3:8" x14ac:dyDescent="0.25">
      <c r="C49" s="109" t="s">
        <v>224</v>
      </c>
      <c r="D49" s="32">
        <f>110*12</f>
        <v>1320</v>
      </c>
      <c r="E49" s="3"/>
      <c r="F49" s="3"/>
      <c r="G49" s="3"/>
      <c r="H49" s="110"/>
    </row>
    <row r="50" spans="3:8" x14ac:dyDescent="0.25">
      <c r="C50" s="109" t="s">
        <v>225</v>
      </c>
      <c r="D50" s="53">
        <f>800*12</f>
        <v>9600</v>
      </c>
      <c r="E50" s="3"/>
      <c r="F50" s="3"/>
      <c r="G50" s="3"/>
      <c r="H50" s="110"/>
    </row>
    <row r="51" spans="3:8" x14ac:dyDescent="0.25">
      <c r="C51" s="109"/>
      <c r="D51" s="114">
        <f>SUM(D48:D50)</f>
        <v>11420</v>
      </c>
      <c r="E51" s="3"/>
      <c r="F51" s="3"/>
      <c r="G51" s="3"/>
      <c r="H51" s="110"/>
    </row>
    <row r="52" spans="3:8" x14ac:dyDescent="0.25">
      <c r="C52" s="50"/>
      <c r="D52" s="49"/>
      <c r="E52" s="49"/>
      <c r="F52" s="49"/>
      <c r="G52" s="49"/>
      <c r="H52" s="111"/>
    </row>
    <row r="54" spans="3:8" x14ac:dyDescent="0.25">
      <c r="C54" s="130" t="s">
        <v>226</v>
      </c>
      <c r="D54" s="131">
        <f>0.1/12</f>
        <v>8.3333333333333332E-3</v>
      </c>
      <c r="E54" s="132" t="s">
        <v>227</v>
      </c>
      <c r="F54" s="132"/>
      <c r="G54" s="132"/>
      <c r="H54" s="133"/>
    </row>
  </sheetData>
  <autoFilter ref="C4:I34">
    <filterColumn colId="6">
      <filters>
        <filter val="1.325,00"/>
        <filter val="11.513.547,70"/>
        <filter val="15.351.396,93"/>
        <filter val="17.894.275,41"/>
        <filter val="2.327.525,33"/>
        <filter val="215.024,00"/>
        <filter val="3.837.849,23"/>
        <filter val="38.730,20"/>
      </filters>
    </filterColumn>
  </autoFilter>
  <conditionalFormatting sqref="E20:G20 E28:G28 E30:G30 E34:G34">
    <cfRule type="cellIs" dxfId="3" priority="3" stopIfTrue="1" operator="lessThan">
      <formula>0</formula>
    </cfRule>
    <cfRule type="cellIs" dxfId="2" priority="4" stopIfTrue="1" operator="greaterThan">
      <formula>0</formula>
    </cfRule>
  </conditionalFormatting>
  <conditionalFormatting sqref="H20 H28 H30 H34">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30"/>
  <sheetViews>
    <sheetView zoomScale="76" zoomScaleNormal="76" workbookViewId="0">
      <selection activeCell="G23" sqref="G23"/>
    </sheetView>
  </sheetViews>
  <sheetFormatPr defaultRowHeight="15" x14ac:dyDescent="0.25"/>
  <cols>
    <col min="1" max="1" width="9.140625" style="1"/>
    <col min="2" max="2" width="22.7109375" style="1" bestFit="1" customWidth="1"/>
    <col min="3" max="4" width="12.85546875" style="1" bestFit="1" customWidth="1"/>
    <col min="5" max="5" width="17.5703125" style="1" customWidth="1"/>
    <col min="6" max="6" width="21" style="1" customWidth="1"/>
    <col min="7" max="7" width="18.140625" style="1" bestFit="1" customWidth="1"/>
    <col min="8" max="8" width="9.140625" style="1"/>
    <col min="9" max="9" width="31.5703125" style="1" bestFit="1" customWidth="1"/>
    <col min="10" max="10" width="24" style="1" bestFit="1" customWidth="1"/>
    <col min="11" max="11" width="21.140625" style="1" customWidth="1"/>
    <col min="12" max="13" width="18.140625" style="1" bestFit="1" customWidth="1"/>
    <col min="14" max="16384" width="9.140625" style="1"/>
  </cols>
  <sheetData>
    <row r="1" spans="2:8" ht="15.75" thickBot="1" x14ac:dyDescent="0.3">
      <c r="B1" s="33" t="s">
        <v>219</v>
      </c>
      <c r="C1" s="125">
        <v>0.98</v>
      </c>
    </row>
    <row r="2" spans="2:8" x14ac:dyDescent="0.25">
      <c r="C2" s="55"/>
    </row>
    <row r="3" spans="2:8" x14ac:dyDescent="0.25">
      <c r="C3" s="55"/>
    </row>
    <row r="4" spans="2:8" x14ac:dyDescent="0.25">
      <c r="B4" s="1" t="s">
        <v>45</v>
      </c>
      <c r="C4" s="62">
        <v>1.273E-2</v>
      </c>
    </row>
    <row r="5" spans="2:8" x14ac:dyDescent="0.25">
      <c r="B5" s="56"/>
      <c r="C5" s="56"/>
      <c r="D5" s="56"/>
      <c r="E5" s="56"/>
      <c r="F5" s="56"/>
      <c r="G5" s="56"/>
      <c r="H5" s="56"/>
    </row>
    <row r="6" spans="2:8" x14ac:dyDescent="0.25">
      <c r="G6" s="56"/>
      <c r="H6" s="56"/>
    </row>
    <row r="7" spans="2:8" x14ac:dyDescent="0.25">
      <c r="B7" s="61" t="s">
        <v>47</v>
      </c>
      <c r="C7" s="61">
        <v>2016</v>
      </c>
      <c r="D7" s="61">
        <f>+C7+1</f>
        <v>2017</v>
      </c>
      <c r="E7" s="61">
        <f>+D7+1</f>
        <v>2018</v>
      </c>
      <c r="F7" s="63" t="s">
        <v>217</v>
      </c>
      <c r="G7" s="56"/>
      <c r="H7" s="56"/>
    </row>
    <row r="8" spans="2:8" x14ac:dyDescent="0.25">
      <c r="B8" s="61" t="s">
        <v>46</v>
      </c>
      <c r="C8" s="7">
        <f>+PyG!E34</f>
        <v>-14897.269814676605</v>
      </c>
      <c r="D8" s="7">
        <f>+PyG!F34</f>
        <v>40938.520223604079</v>
      </c>
      <c r="E8" s="7">
        <f>+PyG!G34</f>
        <v>1250756.8364458021</v>
      </c>
      <c r="F8" s="7">
        <f>+F21</f>
        <v>49767789.056250609</v>
      </c>
      <c r="G8" s="56"/>
      <c r="H8" s="56"/>
    </row>
    <row r="9" spans="2:8" x14ac:dyDescent="0.25">
      <c r="B9" s="56"/>
      <c r="C9" s="56"/>
      <c r="D9" s="56"/>
      <c r="E9" s="56"/>
      <c r="F9" s="56"/>
      <c r="G9" s="56"/>
      <c r="H9" s="56"/>
    </row>
    <row r="10" spans="2:8" x14ac:dyDescent="0.25">
      <c r="B10" s="56"/>
      <c r="C10" s="56"/>
      <c r="D10" s="56"/>
      <c r="E10" s="56"/>
      <c r="F10" s="56"/>
      <c r="G10" s="56"/>
      <c r="H10" s="56"/>
    </row>
    <row r="11" spans="2:8" x14ac:dyDescent="0.25">
      <c r="B11" s="56"/>
      <c r="C11" s="56"/>
      <c r="D11" s="56"/>
      <c r="E11" s="56"/>
      <c r="F11" s="56"/>
      <c r="G11" s="56"/>
      <c r="H11" s="56"/>
    </row>
    <row r="12" spans="2:8" x14ac:dyDescent="0.25">
      <c r="B12" s="56"/>
      <c r="G12" s="56"/>
      <c r="H12" s="56"/>
    </row>
    <row r="13" spans="2:8" ht="15" customHeight="1" x14ac:dyDescent="0.25">
      <c r="B13" s="56"/>
      <c r="G13" s="56"/>
      <c r="H13" s="56"/>
    </row>
    <row r="14" spans="2:8" ht="15.75" thickBot="1" x14ac:dyDescent="0.3">
      <c r="B14" s="56"/>
      <c r="G14" s="56"/>
      <c r="H14" s="56"/>
    </row>
    <row r="15" spans="2:8" x14ac:dyDescent="0.25">
      <c r="B15" s="56"/>
      <c r="E15" s="121" t="s">
        <v>47</v>
      </c>
      <c r="F15" s="28" t="s">
        <v>216</v>
      </c>
      <c r="G15" s="122"/>
      <c r="H15" s="56"/>
    </row>
    <row r="16" spans="2:8" x14ac:dyDescent="0.25">
      <c r="B16" s="56"/>
      <c r="E16" s="30">
        <v>2019</v>
      </c>
      <c r="F16" s="32">
        <f>+PyG!H34</f>
        <v>10206955.068685867</v>
      </c>
      <c r="G16" s="123"/>
      <c r="H16" s="56"/>
    </row>
    <row r="17" spans="5:7" x14ac:dyDescent="0.25">
      <c r="E17" s="30">
        <v>2020</v>
      </c>
      <c r="F17" s="32">
        <f>+F16/(1+C4)</f>
        <v>10078653.805738812</v>
      </c>
      <c r="G17" s="31"/>
    </row>
    <row r="18" spans="5:7" x14ac:dyDescent="0.25">
      <c r="E18" s="30">
        <v>2021</v>
      </c>
      <c r="F18" s="32">
        <f>+F16/(1+C4)^2</f>
        <v>9951965.2876273189</v>
      </c>
      <c r="G18" s="31"/>
    </row>
    <row r="19" spans="5:7" x14ac:dyDescent="0.25">
      <c r="E19" s="30">
        <v>2022</v>
      </c>
      <c r="F19" s="32">
        <f>+F16/(1+C4)^3</f>
        <v>9826869.2421744373</v>
      </c>
      <c r="G19" s="31"/>
    </row>
    <row r="20" spans="5:7" x14ac:dyDescent="0.25">
      <c r="E20" s="30">
        <v>2023</v>
      </c>
      <c r="F20" s="53">
        <f>+F16/(1+C4)^4</f>
        <v>9703345.6520241722</v>
      </c>
      <c r="G20" s="31"/>
    </row>
    <row r="21" spans="5:7" x14ac:dyDescent="0.25">
      <c r="E21" s="30"/>
      <c r="F21" s="32">
        <f>SUM(F16:F20)</f>
        <v>49767789.056250609</v>
      </c>
      <c r="G21" s="31"/>
    </row>
    <row r="22" spans="5:7" ht="15.75" thickBot="1" x14ac:dyDescent="0.3">
      <c r="E22" s="124"/>
      <c r="F22" s="34"/>
      <c r="G22" s="35"/>
    </row>
    <row r="23" spans="5:7" x14ac:dyDescent="0.25">
      <c r="E23" s="56"/>
    </row>
    <row r="26" spans="5:7" ht="15.75" thickBot="1" x14ac:dyDescent="0.3"/>
    <row r="27" spans="5:7" ht="15.75" thickBot="1" x14ac:dyDescent="0.3">
      <c r="E27" s="56" t="s">
        <v>52</v>
      </c>
      <c r="F27" s="56"/>
      <c r="G27" s="64">
        <f>+C8/(1+C4)+D8/(1+C4)^2+E8/(1+C4)^3+F8/(1+C4)^4</f>
        <v>48541641.891072191</v>
      </c>
    </row>
    <row r="28" spans="5:7" x14ac:dyDescent="0.25">
      <c r="E28" s="56"/>
      <c r="F28" s="56"/>
      <c r="G28" s="56"/>
    </row>
    <row r="29" spans="5:7" ht="15.75" thickBot="1" x14ac:dyDescent="0.3">
      <c r="E29" s="148" t="s">
        <v>48</v>
      </c>
      <c r="F29" s="148"/>
    </row>
    <row r="30" spans="5:7" ht="15.75" thickBot="1" x14ac:dyDescent="0.3">
      <c r="E30" s="148"/>
      <c r="F30" s="148"/>
      <c r="G30" s="64">
        <f>IF((G27*(1-C1))&lt;0,G27,(G27*(1-C1)))</f>
        <v>970832.83782144473</v>
      </c>
    </row>
  </sheetData>
  <mergeCells count="1">
    <mergeCell ref="E29:F3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M22"/>
  <sheetViews>
    <sheetView zoomScale="94" zoomScaleNormal="94" workbookViewId="0">
      <selection activeCell="D27" sqref="D27"/>
    </sheetView>
  </sheetViews>
  <sheetFormatPr defaultRowHeight="15" x14ac:dyDescent="0.25"/>
  <cols>
    <col min="1" max="1" width="6.85546875" style="1" customWidth="1"/>
    <col min="2" max="2" width="4.140625" style="1" bestFit="1" customWidth="1"/>
    <col min="3" max="3" width="17.140625" style="1" bestFit="1" customWidth="1"/>
    <col min="4" max="4" width="17.140625" style="1" customWidth="1"/>
    <col min="5" max="13" width="17.140625" style="1" bestFit="1" customWidth="1"/>
    <col min="14" max="16384" width="9.140625" style="1"/>
  </cols>
  <sheetData>
    <row r="1" spans="1:13" ht="15" customHeight="1" x14ac:dyDescent="0.25">
      <c r="C1" s="149" t="s">
        <v>219</v>
      </c>
      <c r="D1" s="149"/>
      <c r="E1" s="149"/>
      <c r="F1" s="149"/>
      <c r="G1" s="149"/>
      <c r="H1" s="149"/>
      <c r="I1" s="149"/>
      <c r="J1" s="149"/>
      <c r="K1" s="149"/>
      <c r="L1" s="149"/>
      <c r="M1" s="149"/>
    </row>
    <row r="2" spans="1:13" x14ac:dyDescent="0.25">
      <c r="C2" s="135">
        <v>0</v>
      </c>
      <c r="D2" s="135">
        <v>0.9</v>
      </c>
      <c r="E2" s="134">
        <v>0.91</v>
      </c>
      <c r="F2" s="134">
        <v>0.92</v>
      </c>
      <c r="G2" s="134">
        <v>0.93</v>
      </c>
      <c r="H2" s="134">
        <v>0.94</v>
      </c>
      <c r="I2" s="134">
        <v>0.95</v>
      </c>
      <c r="J2" s="134">
        <v>0.96</v>
      </c>
      <c r="K2" s="134">
        <v>0.97</v>
      </c>
      <c r="L2" s="134">
        <v>0.98</v>
      </c>
      <c r="M2" s="134">
        <v>0.99</v>
      </c>
    </row>
    <row r="3" spans="1:13" x14ac:dyDescent="0.25">
      <c r="A3" s="150" t="s">
        <v>218</v>
      </c>
      <c r="B3" s="128">
        <v>0.2</v>
      </c>
      <c r="C3" s="13">
        <v>-434968.82660307479</v>
      </c>
      <c r="D3" s="13">
        <f>+IF($C$3&lt;0,$C$3,$C$3*(1-D$2))</f>
        <v>-434968.82660307479</v>
      </c>
      <c r="E3" s="13">
        <f t="shared" ref="E3:M3" si="0">+IF($C$3&lt;0,$C$3,$C$3*(1-E$2))</f>
        <v>-434968.82660307479</v>
      </c>
      <c r="F3" s="13">
        <f t="shared" si="0"/>
        <v>-434968.82660307479</v>
      </c>
      <c r="G3" s="13">
        <f t="shared" si="0"/>
        <v>-434968.82660307479</v>
      </c>
      <c r="H3" s="13">
        <f t="shared" si="0"/>
        <v>-434968.82660307479</v>
      </c>
      <c r="I3" s="13">
        <f t="shared" si="0"/>
        <v>-434968.82660307479</v>
      </c>
      <c r="J3" s="13">
        <f t="shared" si="0"/>
        <v>-434968.82660307479</v>
      </c>
      <c r="K3" s="13">
        <f t="shared" si="0"/>
        <v>-434968.82660307479</v>
      </c>
      <c r="L3" s="13">
        <f t="shared" si="0"/>
        <v>-434968.82660307479</v>
      </c>
      <c r="M3" s="13">
        <f t="shared" si="0"/>
        <v>-434968.82660307479</v>
      </c>
    </row>
    <row r="4" spans="1:13" x14ac:dyDescent="0.25">
      <c r="A4" s="150"/>
      <c r="B4" s="128">
        <v>0.3</v>
      </c>
      <c r="C4" s="13">
        <v>-431746.86854578753</v>
      </c>
      <c r="D4" s="13">
        <f>+IF($C$4&lt;0,$C$4,$C$4*(1-D$2))</f>
        <v>-431746.86854578753</v>
      </c>
      <c r="E4" s="13">
        <f>+IF($C$4&lt;0,$C$4,$C$4*(1-E$2))</f>
        <v>-431746.86854578753</v>
      </c>
      <c r="F4" s="13">
        <f t="shared" ref="F4:M4" si="1">+IF($C$4&lt;0,$C$4,$C$4*(1-F$2))</f>
        <v>-431746.86854578753</v>
      </c>
      <c r="G4" s="13">
        <f t="shared" si="1"/>
        <v>-431746.86854578753</v>
      </c>
      <c r="H4" s="13">
        <f>+IF($C$4&lt;0,$C$4,$C$4*(1-H$2))</f>
        <v>-431746.86854578753</v>
      </c>
      <c r="I4" s="13">
        <f t="shared" si="1"/>
        <v>-431746.86854578753</v>
      </c>
      <c r="J4" s="13">
        <f t="shared" si="1"/>
        <v>-431746.86854578753</v>
      </c>
      <c r="K4" s="13">
        <f t="shared" si="1"/>
        <v>-431746.86854578753</v>
      </c>
      <c r="L4" s="13">
        <f t="shared" si="1"/>
        <v>-431746.86854578753</v>
      </c>
      <c r="M4" s="13">
        <f t="shared" si="1"/>
        <v>-431746.86854578753</v>
      </c>
    </row>
    <row r="5" spans="1:13" x14ac:dyDescent="0.25">
      <c r="A5" s="150"/>
      <c r="B5" s="128">
        <v>0.4</v>
      </c>
      <c r="C5" s="13">
        <v>-427373.90136626287</v>
      </c>
      <c r="D5" s="13">
        <f>+IF($C$5&lt;0,$C$5,$C$5*(1-D$2))</f>
        <v>-427373.90136626287</v>
      </c>
      <c r="E5" s="13">
        <f>+IF($C$5&lt;0,$C$5,$C$5*(1-E$2))</f>
        <v>-427373.90136626287</v>
      </c>
      <c r="F5" s="13">
        <f t="shared" ref="F5:M5" si="2">+IF($C$5&lt;0,$C$5,$C$5*(1-F$2))</f>
        <v>-427373.90136626287</v>
      </c>
      <c r="G5" s="13">
        <f t="shared" si="2"/>
        <v>-427373.90136626287</v>
      </c>
      <c r="H5" s="13">
        <f t="shared" si="2"/>
        <v>-427373.90136626287</v>
      </c>
      <c r="I5" s="13">
        <f t="shared" si="2"/>
        <v>-427373.90136626287</v>
      </c>
      <c r="J5" s="13">
        <f t="shared" si="2"/>
        <v>-427373.90136626287</v>
      </c>
      <c r="K5" s="13">
        <f t="shared" si="2"/>
        <v>-427373.90136626287</v>
      </c>
      <c r="L5" s="13">
        <f t="shared" si="2"/>
        <v>-427373.90136626287</v>
      </c>
      <c r="M5" s="13">
        <f t="shared" si="2"/>
        <v>-427373.90136626287</v>
      </c>
    </row>
    <row r="6" spans="1:13" x14ac:dyDescent="0.25">
      <c r="A6" s="150"/>
      <c r="B6" s="128">
        <v>0.5</v>
      </c>
      <c r="C6" s="13">
        <v>-421242.24293342268</v>
      </c>
      <c r="D6" s="13">
        <f>+IF($C$6&lt;0,$C$6,$C$6*(1-D$2))</f>
        <v>-421242.24293342268</v>
      </c>
      <c r="E6" s="13">
        <f>+IF($C$6&lt;0,$C$6,$C$6*(1-E$2))</f>
        <v>-421242.24293342268</v>
      </c>
      <c r="F6" s="13">
        <f t="shared" ref="F6:M6" si="3">+IF($C$6&lt;0,$C$6,$C$6*(1-F$2))</f>
        <v>-421242.24293342268</v>
      </c>
      <c r="G6" s="13">
        <f t="shared" si="3"/>
        <v>-421242.24293342268</v>
      </c>
      <c r="H6" s="13">
        <f t="shared" si="3"/>
        <v>-421242.24293342268</v>
      </c>
      <c r="I6" s="13">
        <f t="shared" si="3"/>
        <v>-421242.24293342268</v>
      </c>
      <c r="J6" s="13">
        <f t="shared" si="3"/>
        <v>-421242.24293342268</v>
      </c>
      <c r="K6" s="13">
        <f t="shared" si="3"/>
        <v>-421242.24293342268</v>
      </c>
      <c r="L6" s="13">
        <f t="shared" si="3"/>
        <v>-421242.24293342268</v>
      </c>
      <c r="M6" s="13">
        <f t="shared" si="3"/>
        <v>-421242.24293342268</v>
      </c>
    </row>
    <row r="7" spans="1:13" x14ac:dyDescent="0.25">
      <c r="A7" s="150"/>
      <c r="B7" s="128">
        <v>0.6</v>
      </c>
      <c r="C7" s="13">
        <v>-412302.00717936689</v>
      </c>
      <c r="D7" s="13">
        <f>+IF($C$7&lt;0,$C$7,$C$7*(1-D$2))</f>
        <v>-412302.00717936689</v>
      </c>
      <c r="E7" s="13">
        <f>+IF($C$7&lt;0,$C$7,$C$7*(1-E$2))</f>
        <v>-412302.00717936689</v>
      </c>
      <c r="F7" s="13">
        <f t="shared" ref="F7:M7" si="4">+IF($C$7&lt;0,$C$7,$C$7*(1-F$2))</f>
        <v>-412302.00717936689</v>
      </c>
      <c r="G7" s="13">
        <f t="shared" si="4"/>
        <v>-412302.00717936689</v>
      </c>
      <c r="H7" s="13">
        <f t="shared" si="4"/>
        <v>-412302.00717936689</v>
      </c>
      <c r="I7" s="13">
        <f t="shared" si="4"/>
        <v>-412302.00717936689</v>
      </c>
      <c r="J7" s="13">
        <f t="shared" si="4"/>
        <v>-412302.00717936689</v>
      </c>
      <c r="K7" s="13">
        <f t="shared" si="4"/>
        <v>-412302.00717936689</v>
      </c>
      <c r="L7" s="13">
        <f t="shared" si="4"/>
        <v>-412302.00717936689</v>
      </c>
      <c r="M7" s="13">
        <f t="shared" si="4"/>
        <v>-412302.00717936689</v>
      </c>
    </row>
    <row r="8" spans="1:13" x14ac:dyDescent="0.25">
      <c r="A8" s="150"/>
      <c r="B8" s="128">
        <v>0.7</v>
      </c>
      <c r="C8" s="13">
        <v>-398602.444335268</v>
      </c>
      <c r="D8" s="13">
        <f>+IF($C$8&lt;0,$C$8,$C$8*(1-D$2))</f>
        <v>-398602.444335268</v>
      </c>
      <c r="E8" s="13">
        <f>+IF($C$8&lt;0,$C$8,$C$8*(1-E$2))</f>
        <v>-398602.444335268</v>
      </c>
      <c r="F8" s="13">
        <f t="shared" ref="F8:M8" si="5">+IF($C$8&lt;0,$C$8,$C$8*(1-F$2))</f>
        <v>-398602.444335268</v>
      </c>
      <c r="G8" s="13">
        <f t="shared" si="5"/>
        <v>-398602.444335268</v>
      </c>
      <c r="H8" s="13">
        <f t="shared" si="5"/>
        <v>-398602.444335268</v>
      </c>
      <c r="I8" s="13">
        <f t="shared" si="5"/>
        <v>-398602.444335268</v>
      </c>
      <c r="J8" s="13">
        <f t="shared" si="5"/>
        <v>-398602.444335268</v>
      </c>
      <c r="K8" s="13">
        <f t="shared" si="5"/>
        <v>-398602.444335268</v>
      </c>
      <c r="L8" s="13">
        <f t="shared" si="5"/>
        <v>-398602.444335268</v>
      </c>
      <c r="M8" s="13">
        <f t="shared" si="5"/>
        <v>-398602.444335268</v>
      </c>
    </row>
    <row r="9" spans="1:13" x14ac:dyDescent="0.25">
      <c r="A9" s="150"/>
      <c r="B9" s="128">
        <v>0.8</v>
      </c>
      <c r="C9" s="13">
        <v>-376138.14110258536</v>
      </c>
      <c r="D9" s="13">
        <f>+IF($C$9&lt;0,$C$9,$C$9*(1-D$2))</f>
        <v>-376138.14110258536</v>
      </c>
      <c r="E9" s="13">
        <f>+IF($C$9&lt;0,$C$9,$C$9*(1-E$2))</f>
        <v>-376138.14110258536</v>
      </c>
      <c r="F9" s="13">
        <f t="shared" ref="F9:M9" si="6">+IF($C$9&lt;0,$C$9,$C$9*(1-F$2))</f>
        <v>-376138.14110258536</v>
      </c>
      <c r="G9" s="13">
        <f t="shared" si="6"/>
        <v>-376138.14110258536</v>
      </c>
      <c r="H9" s="13">
        <f t="shared" si="6"/>
        <v>-376138.14110258536</v>
      </c>
      <c r="I9" s="13">
        <f t="shared" si="6"/>
        <v>-376138.14110258536</v>
      </c>
      <c r="J9" s="13">
        <f t="shared" si="6"/>
        <v>-376138.14110258536</v>
      </c>
      <c r="K9" s="13">
        <f t="shared" si="6"/>
        <v>-376138.14110258536</v>
      </c>
      <c r="L9" s="13">
        <f t="shared" si="6"/>
        <v>-376138.14110258536</v>
      </c>
      <c r="M9" s="13">
        <f t="shared" si="6"/>
        <v>-376138.14110258536</v>
      </c>
    </row>
    <row r="10" spans="1:13" x14ac:dyDescent="0.25">
      <c r="A10" s="150"/>
      <c r="B10" s="128">
        <v>0.9</v>
      </c>
      <c r="C10" s="13">
        <v>-335513.8347650377</v>
      </c>
      <c r="D10" s="13">
        <f>+IF($C$10&lt;0,$C$10,$C$10*(1-D$2))</f>
        <v>-335513.8347650377</v>
      </c>
      <c r="E10" s="13">
        <f>+IF($C$10&lt;0,$C$10,$C$10*(1-E$2))</f>
        <v>-335513.8347650377</v>
      </c>
      <c r="F10" s="13">
        <f t="shared" ref="F10:M10" si="7">+IF($C$10&lt;0,$C$10,$C$10*(1-F$2))</f>
        <v>-335513.8347650377</v>
      </c>
      <c r="G10" s="13">
        <f t="shared" si="7"/>
        <v>-335513.8347650377</v>
      </c>
      <c r="H10" s="13">
        <f t="shared" si="7"/>
        <v>-335513.8347650377</v>
      </c>
      <c r="I10" s="13">
        <f t="shared" si="7"/>
        <v>-335513.8347650377</v>
      </c>
      <c r="J10" s="13">
        <f t="shared" si="7"/>
        <v>-335513.8347650377</v>
      </c>
      <c r="K10" s="13">
        <f t="shared" si="7"/>
        <v>-335513.8347650377</v>
      </c>
      <c r="L10" s="13">
        <f t="shared" si="7"/>
        <v>-335513.8347650377</v>
      </c>
      <c r="M10" s="13">
        <f t="shared" si="7"/>
        <v>-335513.8347650377</v>
      </c>
    </row>
    <row r="11" spans="1:13" x14ac:dyDescent="0.25">
      <c r="A11" s="150"/>
      <c r="B11" s="128">
        <v>1</v>
      </c>
      <c r="C11" s="13">
        <v>-250636.56081276209</v>
      </c>
      <c r="D11" s="13">
        <f>+IF($C$11&lt;0,$C$11,$C$11*(1-D$2))</f>
        <v>-250636.56081276209</v>
      </c>
      <c r="E11" s="13">
        <f>+IF($C$11&lt;0,$C$11,$C$11*(1-E$2))</f>
        <v>-250636.56081276209</v>
      </c>
      <c r="F11" s="13">
        <f t="shared" ref="F11:M11" si="8">+IF($C$11&lt;0,$C$11,$C$11*(1-F$2))</f>
        <v>-250636.56081276209</v>
      </c>
      <c r="G11" s="13">
        <f t="shared" si="8"/>
        <v>-250636.56081276209</v>
      </c>
      <c r="H11" s="13">
        <f t="shared" si="8"/>
        <v>-250636.56081276209</v>
      </c>
      <c r="I11" s="13">
        <f t="shared" si="8"/>
        <v>-250636.56081276209</v>
      </c>
      <c r="J11" s="13">
        <f t="shared" si="8"/>
        <v>-250636.56081276209</v>
      </c>
      <c r="K11" s="13">
        <f t="shared" si="8"/>
        <v>-250636.56081276209</v>
      </c>
      <c r="L11" s="13">
        <f t="shared" si="8"/>
        <v>-250636.56081276209</v>
      </c>
      <c r="M11" s="13">
        <f t="shared" si="8"/>
        <v>-250636.56081276209</v>
      </c>
    </row>
    <row r="12" spans="1:13" x14ac:dyDescent="0.25">
      <c r="A12" s="150"/>
      <c r="B12" s="128">
        <v>1.1000000000000001</v>
      </c>
      <c r="C12" s="13">
        <v>-31428.013226261719</v>
      </c>
      <c r="D12" s="13">
        <f>+IF($C$12&lt;0,$C$12,$C$12*(1-D$2))</f>
        <v>-31428.013226261719</v>
      </c>
      <c r="E12" s="13">
        <f>+IF($C$12&lt;0,$C$12,$C$12*(1-E$2))</f>
        <v>-31428.013226261719</v>
      </c>
      <c r="F12" s="13">
        <f t="shared" ref="F12:M12" si="9">+IF($C$12&lt;0,$C$12,$C$12*(1-F$2))</f>
        <v>-31428.013226261719</v>
      </c>
      <c r="G12" s="13">
        <f t="shared" si="9"/>
        <v>-31428.013226261719</v>
      </c>
      <c r="H12" s="13">
        <f t="shared" si="9"/>
        <v>-31428.013226261719</v>
      </c>
      <c r="I12" s="13">
        <f t="shared" si="9"/>
        <v>-31428.013226261719</v>
      </c>
      <c r="J12" s="13">
        <f t="shared" si="9"/>
        <v>-31428.013226261719</v>
      </c>
      <c r="K12" s="13">
        <f t="shared" si="9"/>
        <v>-31428.013226261719</v>
      </c>
      <c r="L12" s="13">
        <f t="shared" si="9"/>
        <v>-31428.013226261719</v>
      </c>
      <c r="M12" s="13">
        <f t="shared" si="9"/>
        <v>-31428.013226261719</v>
      </c>
    </row>
    <row r="13" spans="1:13" x14ac:dyDescent="0.25">
      <c r="A13" s="150"/>
      <c r="B13" s="128">
        <v>1.2</v>
      </c>
      <c r="C13" s="13">
        <v>751221.91951906017</v>
      </c>
      <c r="D13" s="13">
        <f>+IF($C$13&lt;0,$C$13,$C$13*(1-D$2))</f>
        <v>75122.191951906003</v>
      </c>
      <c r="E13" s="13">
        <f>+IF($C$13&lt;0,$C$13,$C$13*(1-E$2))</f>
        <v>67609.97275671539</v>
      </c>
      <c r="F13" s="13">
        <f t="shared" ref="F13:M13" si="10">+IF($C$13&lt;0,$C$13,$C$13*(1-F$2))</f>
        <v>60097.753561524783</v>
      </c>
      <c r="G13" s="13">
        <f t="shared" si="10"/>
        <v>52585.534366334177</v>
      </c>
      <c r="H13" s="13">
        <f t="shared" si="10"/>
        <v>45073.315171143651</v>
      </c>
      <c r="I13" s="13">
        <f t="shared" si="10"/>
        <v>37561.095975953045</v>
      </c>
      <c r="J13" s="13">
        <f t="shared" si="10"/>
        <v>30048.876780762435</v>
      </c>
      <c r="K13" s="13">
        <f t="shared" si="10"/>
        <v>22536.657585571826</v>
      </c>
      <c r="L13" s="13">
        <f t="shared" si="10"/>
        <v>15024.438390381218</v>
      </c>
      <c r="M13" s="13">
        <f t="shared" si="10"/>
        <v>7512.2191951906088</v>
      </c>
    </row>
    <row r="14" spans="1:13" x14ac:dyDescent="0.25">
      <c r="A14" s="150"/>
      <c r="B14" s="128">
        <v>1.3</v>
      </c>
      <c r="C14" s="13">
        <v>5298730.259656867</v>
      </c>
      <c r="D14" s="13">
        <f>+IF($C$14&lt;0,$C$14,$C$14*(1-D$2))</f>
        <v>529873.02596568654</v>
      </c>
      <c r="E14" s="13">
        <f>+IF($C$14&lt;0,$C$14,$C$14*(1-E$2))</f>
        <v>476885.72336911788</v>
      </c>
      <c r="F14" s="13">
        <f t="shared" ref="F14:M14" si="11">+IF($C$14&lt;0,$C$14,$C$14*(1-F$2))</f>
        <v>423898.42077254917</v>
      </c>
      <c r="G14" s="13">
        <f t="shared" si="11"/>
        <v>370911.11817598046</v>
      </c>
      <c r="H14" s="13">
        <f t="shared" si="11"/>
        <v>317923.81557941233</v>
      </c>
      <c r="I14" s="13">
        <f t="shared" si="11"/>
        <v>264936.51298284356</v>
      </c>
      <c r="J14" s="13">
        <f t="shared" si="11"/>
        <v>211949.21038627488</v>
      </c>
      <c r="K14" s="13">
        <f t="shared" si="11"/>
        <v>158961.90778970617</v>
      </c>
      <c r="L14" s="13">
        <f t="shared" si="11"/>
        <v>105974.60519313744</v>
      </c>
      <c r="M14" s="13">
        <f t="shared" si="11"/>
        <v>52987.302596568719</v>
      </c>
    </row>
    <row r="15" spans="1:13" x14ac:dyDescent="0.25">
      <c r="A15" s="150"/>
      <c r="B15" s="128">
        <v>1.4</v>
      </c>
      <c r="C15" s="13">
        <v>48541641.891072191</v>
      </c>
      <c r="D15" s="13">
        <f>+IF($C$15&lt;0,$C$15,$C$15*(1-D$2))</f>
        <v>4854164.1891072178</v>
      </c>
      <c r="E15" s="13">
        <f>+IF($C$15&lt;0,$C$15,$C$15*(1-E$2))</f>
        <v>4368747.7701964956</v>
      </c>
      <c r="F15" s="13">
        <f t="shared" ref="F15:M15" si="12">+IF($C$15&lt;0,$C$15,$C$15*(1-F$2))</f>
        <v>3883331.3512857733</v>
      </c>
      <c r="G15" s="13">
        <f t="shared" si="12"/>
        <v>3397914.9323750511</v>
      </c>
      <c r="H15" s="13">
        <f t="shared" si="12"/>
        <v>2912498.513464334</v>
      </c>
      <c r="I15" s="13">
        <f t="shared" si="12"/>
        <v>2427082.0945536117</v>
      </c>
      <c r="J15" s="13">
        <f t="shared" si="12"/>
        <v>1941665.6756428895</v>
      </c>
      <c r="K15" s="13">
        <f t="shared" si="12"/>
        <v>1456249.256732167</v>
      </c>
      <c r="L15" s="13">
        <f t="shared" si="12"/>
        <v>970832.83782144473</v>
      </c>
      <c r="M15" s="13">
        <f t="shared" si="12"/>
        <v>485416.41891072236</v>
      </c>
    </row>
    <row r="16" spans="1:13" x14ac:dyDescent="0.25">
      <c r="A16" s="150"/>
      <c r="B16" s="128">
        <v>1.5</v>
      </c>
      <c r="C16" s="13">
        <v>344253107.87746394</v>
      </c>
      <c r="D16" s="13">
        <f>+IF($C$16&lt;0,$C$16,$C$16*(1-D$2))</f>
        <v>34425310.787746385</v>
      </c>
      <c r="E16" s="13">
        <f>+IF($C$16&lt;0,$C$16,$C$16*(1-E$2))</f>
        <v>30982779.708971743</v>
      </c>
      <c r="F16" s="13">
        <f t="shared" ref="F16:M16" si="13">+IF($C$16&lt;0,$C$16,$C$16*(1-F$2))</f>
        <v>27540248.6301971</v>
      </c>
      <c r="G16" s="13">
        <f t="shared" si="13"/>
        <v>24097717.551422458</v>
      </c>
      <c r="H16" s="13">
        <f t="shared" si="13"/>
        <v>20655186.472647853</v>
      </c>
      <c r="I16" s="13">
        <f t="shared" si="13"/>
        <v>17212655.393873211</v>
      </c>
      <c r="J16" s="13">
        <f t="shared" si="13"/>
        <v>13770124.315098569</v>
      </c>
      <c r="K16" s="13">
        <f t="shared" si="13"/>
        <v>10327593.236323927</v>
      </c>
      <c r="L16" s="13">
        <f>+IF($C$16&lt;0,$C$16,$C$16*(1-L$2))</f>
        <v>6885062.1575492844</v>
      </c>
      <c r="M16" s="13">
        <f t="shared" si="13"/>
        <v>3442531.0787746422</v>
      </c>
    </row>
    <row r="17" spans="1:13" x14ac:dyDescent="0.25">
      <c r="A17" s="150"/>
      <c r="B17" s="128">
        <v>1.6</v>
      </c>
      <c r="C17" s="13">
        <v>391045203.76119524</v>
      </c>
      <c r="D17" s="13">
        <f>+IF($C$17&lt;0,$C$17,$C$17*(1-D$2))</f>
        <v>39104520.376119517</v>
      </c>
      <c r="E17" s="13">
        <f>+IF($C$17&lt;0,$C$17,$C$17*(1-E$2))</f>
        <v>35194068.338507563</v>
      </c>
      <c r="F17" s="13">
        <f t="shared" ref="F17:M17" si="14">+IF($C$17&lt;0,$C$17,$C$17*(1-F$2))</f>
        <v>31283616.300895605</v>
      </c>
      <c r="G17" s="13">
        <f t="shared" si="14"/>
        <v>27373164.263283648</v>
      </c>
      <c r="H17" s="13">
        <f t="shared" si="14"/>
        <v>23462712.225671735</v>
      </c>
      <c r="I17" s="13">
        <f t="shared" si="14"/>
        <v>19552260.188059781</v>
      </c>
      <c r="J17" s="13">
        <f t="shared" si="14"/>
        <v>15641808.150447823</v>
      </c>
      <c r="K17" s="13">
        <f t="shared" si="14"/>
        <v>11731356.112835867</v>
      </c>
      <c r="L17" s="13">
        <f t="shared" si="14"/>
        <v>7820904.0752239116</v>
      </c>
      <c r="M17" s="13">
        <f t="shared" si="14"/>
        <v>3910452.0376119558</v>
      </c>
    </row>
    <row r="18" spans="1:13" x14ac:dyDescent="0.25">
      <c r="A18" s="150"/>
      <c r="B18" s="128">
        <v>1.7</v>
      </c>
      <c r="C18" s="13">
        <v>412417626.90839213</v>
      </c>
      <c r="D18" s="13">
        <f>+IF($C$18&lt;0,$C$18,$C$18*(1-D$2))</f>
        <v>41241762.690839201</v>
      </c>
      <c r="E18" s="13">
        <f>+IF($C$18&lt;0,$C$18,$C$18*(1-E$2))</f>
        <v>37117586.421755277</v>
      </c>
      <c r="F18" s="13">
        <f t="shared" ref="F18:M18" si="15">+IF($C$18&lt;0,$C$18,$C$18*(1-F$2))</f>
        <v>32993410.152671356</v>
      </c>
      <c r="G18" s="13">
        <f t="shared" si="15"/>
        <v>28869233.883587427</v>
      </c>
      <c r="H18" s="13">
        <f t="shared" si="15"/>
        <v>24745057.614503551</v>
      </c>
      <c r="I18" s="13">
        <f t="shared" si="15"/>
        <v>20620881.345419627</v>
      </c>
      <c r="J18" s="13">
        <f t="shared" si="15"/>
        <v>16496705.0763357</v>
      </c>
      <c r="K18" s="13">
        <f t="shared" si="15"/>
        <v>12372528.807251776</v>
      </c>
      <c r="L18" s="13">
        <f t="shared" si="15"/>
        <v>8248352.5381678501</v>
      </c>
      <c r="M18" s="13">
        <f t="shared" si="15"/>
        <v>4124176.2690839251</v>
      </c>
    </row>
    <row r="19" spans="1:13" x14ac:dyDescent="0.25">
      <c r="A19" s="150"/>
      <c r="B19" s="128">
        <v>1.8</v>
      </c>
      <c r="C19" s="13">
        <v>431715170.99255484</v>
      </c>
      <c r="D19" s="13">
        <f>+IF($C$19&lt;0,$C$19,$C$19*(1-D$2))</f>
        <v>43171517.099255472</v>
      </c>
      <c r="E19" s="13">
        <f>+IF($C$19&lt;0,$C$19,$C$19*(1-E$2))</f>
        <v>38854365.389329925</v>
      </c>
      <c r="F19" s="13">
        <f t="shared" ref="F19:M19" si="16">+IF($C$19&lt;0,$C$19,$C$19*(1-F$2))</f>
        <v>34537213.67940437</v>
      </c>
      <c r="G19" s="13">
        <f t="shared" si="16"/>
        <v>30220061.96947882</v>
      </c>
      <c r="H19" s="13">
        <f t="shared" si="16"/>
        <v>25902910.259553313</v>
      </c>
      <c r="I19" s="13">
        <f t="shared" si="16"/>
        <v>21585758.549627762</v>
      </c>
      <c r="J19" s="13">
        <f t="shared" si="16"/>
        <v>17268606.839702208</v>
      </c>
      <c r="K19" s="13">
        <f t="shared" si="16"/>
        <v>12951455.129776657</v>
      </c>
      <c r="L19" s="13">
        <f t="shared" si="16"/>
        <v>8634303.4198511038</v>
      </c>
      <c r="M19" s="13">
        <f t="shared" si="16"/>
        <v>4317151.7099255519</v>
      </c>
    </row>
    <row r="20" spans="1:13" x14ac:dyDescent="0.25">
      <c r="A20" s="150"/>
      <c r="B20" s="128">
        <v>1.9</v>
      </c>
      <c r="C20" s="13">
        <v>445866357.772403</v>
      </c>
      <c r="D20" s="13">
        <f>+IF($C$20&lt;0,$C$20,$C$20*(1-D$2))</f>
        <v>44586635.777240291</v>
      </c>
      <c r="E20" s="13">
        <f>+IF($C$20&lt;0,$C$20,$C$20*(1-E$2))</f>
        <v>40127972.199516259</v>
      </c>
      <c r="F20" s="13">
        <f t="shared" ref="F20:M20" si="17">+IF($C$20&lt;0,$C$20,$C$20*(1-F$2))</f>
        <v>35669308.62179222</v>
      </c>
      <c r="G20" s="13">
        <f t="shared" si="17"/>
        <v>31210645.044068187</v>
      </c>
      <c r="H20" s="13">
        <f t="shared" si="17"/>
        <v>26751981.466344204</v>
      </c>
      <c r="I20" s="13">
        <f t="shared" si="17"/>
        <v>22293317.888620172</v>
      </c>
      <c r="J20" s="13">
        <f t="shared" si="17"/>
        <v>17834654.310896136</v>
      </c>
      <c r="K20" s="13">
        <f t="shared" si="17"/>
        <v>13375990.733172102</v>
      </c>
      <c r="L20" s="13">
        <f t="shared" si="17"/>
        <v>8917327.1554480679</v>
      </c>
      <c r="M20" s="13">
        <f t="shared" si="17"/>
        <v>4458663.577724034</v>
      </c>
    </row>
    <row r="21" spans="1:13" x14ac:dyDescent="0.25">
      <c r="A21" s="150"/>
      <c r="B21" s="128">
        <v>2</v>
      </c>
      <c r="C21" s="13">
        <v>442990002.85464919</v>
      </c>
      <c r="D21" s="13">
        <f>+IF($C$21&lt;0,$C$21,$C$21*(1-D$2))</f>
        <v>44299000.285464905</v>
      </c>
      <c r="E21" s="13">
        <f>+IF($C$21&lt;0,$C$21,$C$21*(1-E$2))</f>
        <v>39869100.256918415</v>
      </c>
      <c r="F21" s="13">
        <f t="shared" ref="F21:M21" si="18">+IF($C$21&lt;0,$C$21,$C$21*(1-F$2))</f>
        <v>35439200.228371918</v>
      </c>
      <c r="G21" s="13">
        <f t="shared" si="18"/>
        <v>31009300.199825421</v>
      </c>
      <c r="H21" s="13">
        <f t="shared" si="18"/>
        <v>26579400.171278976</v>
      </c>
      <c r="I21" s="13">
        <f t="shared" si="18"/>
        <v>22149500.142732479</v>
      </c>
      <c r="J21" s="13">
        <f t="shared" si="18"/>
        <v>17719600.114185981</v>
      </c>
      <c r="K21" s="13">
        <f t="shared" si="18"/>
        <v>13289700.085639488</v>
      </c>
      <c r="L21" s="13">
        <f t="shared" si="18"/>
        <v>8859800.0570929907</v>
      </c>
      <c r="M21" s="13">
        <f t="shared" si="18"/>
        <v>4429900.0285464954</v>
      </c>
    </row>
    <row r="22" spans="1:13" x14ac:dyDescent="0.25">
      <c r="B22" s="4"/>
    </row>
  </sheetData>
  <mergeCells count="2">
    <mergeCell ref="C1:M1"/>
    <mergeCell ref="A3:A21"/>
  </mergeCells>
  <conditionalFormatting sqref="D3:M2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2:U112"/>
  <sheetViews>
    <sheetView zoomScale="70" zoomScaleNormal="70" workbookViewId="0">
      <selection activeCell="T30" sqref="T30"/>
    </sheetView>
  </sheetViews>
  <sheetFormatPr defaultRowHeight="15" x14ac:dyDescent="0.25"/>
  <cols>
    <col min="1" max="1" width="9.140625" style="1"/>
    <col min="2" max="2" width="14" style="1" bestFit="1" customWidth="1"/>
    <col min="3" max="3" width="23" style="1" customWidth="1"/>
    <col min="4" max="4" width="23.28515625" style="1" customWidth="1"/>
    <col min="5" max="5" width="25" style="1" customWidth="1"/>
    <col min="6" max="6" width="22.5703125" style="1" customWidth="1"/>
    <col min="7" max="7" width="24.28515625" style="1" bestFit="1" customWidth="1"/>
    <col min="8" max="8" width="25" style="1" customWidth="1"/>
    <col min="9" max="9" width="17.7109375" style="1" bestFit="1" customWidth="1"/>
    <col min="10" max="10" width="14.7109375" style="1" bestFit="1" customWidth="1"/>
    <col min="11" max="11" width="12" style="1" bestFit="1" customWidth="1"/>
    <col min="12" max="12" width="24.28515625" style="1" bestFit="1" customWidth="1"/>
    <col min="13" max="13" width="16.42578125" style="1" bestFit="1" customWidth="1"/>
    <col min="14" max="14" width="18.140625" style="1" bestFit="1" customWidth="1"/>
    <col min="15" max="17" width="13.140625" style="1" bestFit="1" customWidth="1"/>
    <col min="18" max="18" width="11.42578125" style="1" bestFit="1" customWidth="1"/>
    <col min="19" max="19" width="11.7109375" style="1" bestFit="1" customWidth="1"/>
    <col min="20" max="20" width="11.42578125" style="1" bestFit="1" customWidth="1"/>
    <col min="21" max="21" width="11.7109375" style="1" bestFit="1" customWidth="1"/>
    <col min="22" max="23" width="9.140625" style="1"/>
    <col min="24" max="24" width="9.7109375" style="1" customWidth="1"/>
    <col min="25" max="16384" width="9.140625" style="1"/>
  </cols>
  <sheetData>
    <row r="2" spans="2:21" x14ac:dyDescent="0.25">
      <c r="C2" s="157" t="s">
        <v>221</v>
      </c>
      <c r="D2" s="159">
        <v>2000000000</v>
      </c>
    </row>
    <row r="3" spans="2:21" x14ac:dyDescent="0.25">
      <c r="C3" s="158"/>
      <c r="D3" s="160"/>
    </row>
    <row r="4" spans="2:21" x14ac:dyDescent="0.25">
      <c r="D4" s="4"/>
      <c r="I4" s="4"/>
    </row>
    <row r="5" spans="2:21" x14ac:dyDescent="0.25">
      <c r="C5" s="5" t="s">
        <v>0</v>
      </c>
      <c r="D5" s="18">
        <v>395</v>
      </c>
      <c r="E5" s="161" t="s">
        <v>228</v>
      </c>
      <c r="F5" s="162"/>
      <c r="G5" s="162"/>
      <c r="H5" s="162"/>
      <c r="J5" s="4"/>
      <c r="K5" s="4"/>
      <c r="L5" s="4"/>
      <c r="M5" s="4"/>
      <c r="N5" s="4"/>
      <c r="O5" s="4"/>
    </row>
    <row r="6" spans="2:21" x14ac:dyDescent="0.25">
      <c r="C6" s="4"/>
      <c r="D6" s="4"/>
      <c r="E6" s="4"/>
      <c r="F6" s="4"/>
      <c r="G6" s="22"/>
      <c r="H6" s="4"/>
      <c r="I6" s="4"/>
      <c r="J6" s="4"/>
      <c r="K6" s="4"/>
      <c r="L6" s="4"/>
      <c r="M6" s="4"/>
      <c r="N6" s="4"/>
      <c r="O6" s="4"/>
    </row>
    <row r="7" spans="2:21" ht="28.5" customHeight="1" x14ac:dyDescent="0.25">
      <c r="C7" s="5" t="s">
        <v>1</v>
      </c>
      <c r="D7" s="127">
        <v>1.4</v>
      </c>
      <c r="E7" s="141" t="s">
        <v>220</v>
      </c>
      <c r="F7" s="141"/>
      <c r="G7" s="141"/>
      <c r="H7" s="141"/>
      <c r="I7" s="141"/>
      <c r="J7" s="141"/>
      <c r="K7" s="4"/>
      <c r="L7" s="4"/>
      <c r="M7" s="4"/>
      <c r="N7" s="4"/>
      <c r="O7" s="4"/>
    </row>
    <row r="8" spans="2:21" x14ac:dyDescent="0.25">
      <c r="C8" s="4"/>
      <c r="D8" s="4"/>
      <c r="E8" s="141"/>
      <c r="F8" s="141"/>
      <c r="G8" s="141"/>
      <c r="H8" s="141"/>
      <c r="I8" s="141"/>
      <c r="J8" s="141"/>
      <c r="K8" s="4"/>
      <c r="L8" s="4"/>
      <c r="M8" s="4"/>
      <c r="N8" s="4"/>
      <c r="O8" s="4"/>
    </row>
    <row r="9" spans="2:21" x14ac:dyDescent="0.25">
      <c r="C9" s="4"/>
      <c r="D9" s="4"/>
      <c r="E9" s="141"/>
      <c r="F9" s="141"/>
      <c r="G9" s="141"/>
      <c r="H9" s="141"/>
      <c r="I9" s="141"/>
      <c r="J9" s="141"/>
      <c r="K9" s="4"/>
      <c r="L9" s="4"/>
      <c r="M9" s="4"/>
      <c r="N9" s="4"/>
      <c r="O9" s="4"/>
    </row>
    <row r="10" spans="2:21" x14ac:dyDescent="0.25">
      <c r="C10" s="4"/>
      <c r="D10" s="4"/>
      <c r="E10" s="141"/>
      <c r="F10" s="141"/>
      <c r="G10" s="141"/>
      <c r="H10" s="141"/>
      <c r="I10" s="141"/>
      <c r="J10" s="141"/>
      <c r="K10" s="4"/>
      <c r="L10" s="4"/>
      <c r="M10" s="4"/>
      <c r="N10" s="4"/>
      <c r="O10" s="4"/>
    </row>
    <row r="11" spans="2:21" x14ac:dyDescent="0.25">
      <c r="C11" s="4"/>
      <c r="D11" s="4"/>
      <c r="E11" s="141"/>
      <c r="F11" s="141"/>
      <c r="G11" s="141"/>
      <c r="H11" s="141"/>
      <c r="I11" s="141"/>
      <c r="J11" s="141"/>
      <c r="K11" s="4"/>
      <c r="L11" s="4"/>
      <c r="M11" s="4"/>
      <c r="N11" s="4"/>
      <c r="O11" s="4"/>
    </row>
    <row r="12" spans="2:21" x14ac:dyDescent="0.25">
      <c r="C12" s="4"/>
      <c r="D12" s="4"/>
      <c r="E12" s="66"/>
      <c r="F12" s="66"/>
      <c r="G12" s="66"/>
      <c r="H12" s="66"/>
      <c r="I12" s="66"/>
      <c r="J12" s="66"/>
      <c r="K12" s="4"/>
      <c r="L12" s="4"/>
      <c r="M12" s="4"/>
      <c r="N12" s="4"/>
      <c r="O12" s="4"/>
    </row>
    <row r="13" spans="2:21" x14ac:dyDescent="0.25">
      <c r="C13" s="4"/>
      <c r="D13" s="4"/>
      <c r="E13" s="4"/>
      <c r="F13" s="4"/>
    </row>
    <row r="14" spans="2:21" x14ac:dyDescent="0.25">
      <c r="B14" s="15" t="s">
        <v>9</v>
      </c>
      <c r="C14" s="6">
        <v>42156</v>
      </c>
      <c r="D14" s="6">
        <v>42186</v>
      </c>
      <c r="E14" s="6">
        <v>42217</v>
      </c>
      <c r="F14" s="6">
        <v>42248</v>
      </c>
      <c r="G14" s="6">
        <v>42278</v>
      </c>
      <c r="H14" s="6">
        <v>42309</v>
      </c>
      <c r="I14" s="6">
        <v>42339</v>
      </c>
      <c r="J14" s="6">
        <v>42370</v>
      </c>
      <c r="K14" s="6">
        <v>42401</v>
      </c>
      <c r="L14" s="6">
        <v>42430</v>
      </c>
      <c r="M14" s="6">
        <v>42461</v>
      </c>
      <c r="N14" s="6">
        <v>42491</v>
      </c>
      <c r="O14" s="6">
        <v>42522</v>
      </c>
      <c r="P14" s="6">
        <v>42552</v>
      </c>
      <c r="Q14" s="6">
        <v>42583</v>
      </c>
      <c r="R14" s="6">
        <v>42614</v>
      </c>
      <c r="S14" s="6">
        <v>42644</v>
      </c>
      <c r="T14" s="6">
        <v>42675</v>
      </c>
      <c r="U14" s="6">
        <v>42705</v>
      </c>
    </row>
    <row r="15" spans="2:21" x14ac:dyDescent="0.25">
      <c r="B15" s="15" t="s">
        <v>8</v>
      </c>
      <c r="C15" s="24">
        <f>+IF(D5*D7&lt;$D$2,D5*D7,D2)</f>
        <v>553</v>
      </c>
      <c r="D15" s="24">
        <f>+IF((C15-D5)*D7+C15&lt;$D$2,(C15-D5)*D7+C15,D2)</f>
        <v>774.2</v>
      </c>
      <c r="E15" s="24">
        <f>+IF((D15-C15)*$D$7+D15&lt;$D$2,(D15-C15)*$D$7+D15,$D$2)</f>
        <v>1083.8800000000001</v>
      </c>
      <c r="F15" s="24">
        <f>+IF((E15-D15)*$D$7+E15&lt;$D$2,(E15-D15)*$D$7+E15,$D$2)</f>
        <v>1517.4320000000002</v>
      </c>
      <c r="G15" s="24">
        <f>+IF((F15-E15)*$D$7+F15&lt;$D$2,(F15-E15)*$D$7+F15,$D$2)</f>
        <v>2124.4048000000003</v>
      </c>
      <c r="H15" s="24">
        <f>+IF((G15-F15)*$D$7+G15&lt;$D$2,(G15-F15)*$D$7+G15,$D$2)</f>
        <v>2974.1667200000002</v>
      </c>
      <c r="I15" s="24">
        <f t="shared" ref="I15:M15" si="0">+IF((H15-G15)*$D$7+H15&lt;$D$2,(H15-G15)*$D$7+H15,$D$2)</f>
        <v>4163.8334080000004</v>
      </c>
      <c r="J15" s="24">
        <f t="shared" si="0"/>
        <v>5829.3667712000006</v>
      </c>
      <c r="K15" s="24">
        <f t="shared" si="0"/>
        <v>8161.1134796800006</v>
      </c>
      <c r="L15" s="24">
        <f t="shared" si="0"/>
        <v>11425.558871552001</v>
      </c>
      <c r="M15" s="24">
        <f t="shared" si="0"/>
        <v>15995.7824201728</v>
      </c>
      <c r="N15" s="24">
        <f t="shared" ref="N15" si="1">+IF((M15-L15)*$D$7+M15&lt;$D$2,(M15-L15)*$D$7+M15,$D$2)</f>
        <v>22394.09538824192</v>
      </c>
      <c r="O15" s="24">
        <f>+IF((N15-M15)*$D$7+N15+I86&lt;$D$2,(N15-M15)*$D$7+N15+I86,$D$2)</f>
        <v>32566.733543538685</v>
      </c>
      <c r="P15" s="24">
        <f>+IF((O15-N15)*$D$7+O15+I97&lt;$D$2,(O15-N15)*$D$7+O15+I97,$D$2)</f>
        <v>48630.926960954152</v>
      </c>
      <c r="Q15" s="24">
        <f>+IF((P15-O15)*$D$7+P15+I108&lt;$D$2,(P15-O15)*$D$7+P15+I108,$D$2)</f>
        <v>72943.297745335803</v>
      </c>
      <c r="R15" s="24">
        <f t="shared" ref="R15" si="2">+IF((Q15-P15)*$D$7+Q15&lt;$D$2,(Q15-P15)*$D$7+Q15,$D$2)</f>
        <v>106980.61684347011</v>
      </c>
      <c r="S15" s="24">
        <f t="shared" ref="S15" si="3">+IF((R15-Q15)*$D$7+R15&lt;$D$2,(R15-Q15)*$D$7+R15,$D$2)</f>
        <v>154632.86358085813</v>
      </c>
      <c r="T15" s="24">
        <f t="shared" ref="T15" si="4">+IF((S15-R15)*$D$7+S15&lt;$D$2,(S15-R15)*$D$7+S15,$D$2)</f>
        <v>221346.00901320134</v>
      </c>
      <c r="U15" s="24">
        <f t="shared" ref="U15" si="5">+IF((T15-S15)*$D$7+T15&lt;$D$2,(T15-S15)*$D$7+T15,$D$2)</f>
        <v>314744.41261848185</v>
      </c>
    </row>
    <row r="16" spans="2:21" x14ac:dyDescent="0.25">
      <c r="G16" s="9"/>
      <c r="H16" s="9"/>
      <c r="I16" s="9"/>
      <c r="J16" s="9"/>
      <c r="K16" s="9"/>
      <c r="L16" s="9"/>
      <c r="M16" s="9"/>
    </row>
    <row r="17" spans="3:21" x14ac:dyDescent="0.25">
      <c r="C17" s="140"/>
      <c r="D17" s="140"/>
      <c r="E17" s="140"/>
      <c r="F17" s="140"/>
      <c r="G17" s="140"/>
      <c r="H17" s="140"/>
      <c r="N17" s="10"/>
      <c r="O17" s="10"/>
      <c r="P17" s="10"/>
      <c r="Q17" s="10"/>
      <c r="R17" s="10"/>
      <c r="S17" s="10"/>
      <c r="T17" s="10"/>
      <c r="U17" s="10"/>
    </row>
    <row r="18" spans="3:21" x14ac:dyDescent="0.25">
      <c r="O18" s="11"/>
      <c r="P18" s="11"/>
      <c r="Q18" s="11"/>
    </row>
    <row r="20" spans="3:21" x14ac:dyDescent="0.25">
      <c r="C20" s="140"/>
      <c r="D20" s="1" t="s">
        <v>232</v>
      </c>
    </row>
    <row r="22" spans="3:21" x14ac:dyDescent="0.25">
      <c r="C22" s="9"/>
      <c r="D22" s="1" t="s">
        <v>231</v>
      </c>
    </row>
    <row r="23" spans="3:21" x14ac:dyDescent="0.25">
      <c r="D23" s="1" t="s">
        <v>49</v>
      </c>
    </row>
    <row r="25" spans="3:21" x14ac:dyDescent="0.25">
      <c r="C25" s="10"/>
      <c r="D25" s="1" t="s">
        <v>5</v>
      </c>
    </row>
    <row r="27" spans="3:21" x14ac:dyDescent="0.25">
      <c r="C27" s="11"/>
      <c r="D27" s="1" t="s">
        <v>6</v>
      </c>
    </row>
    <row r="34" spans="8:9" ht="15" customHeight="1" x14ac:dyDescent="0.25"/>
    <row r="37" spans="8:9" ht="15" customHeight="1" x14ac:dyDescent="0.25"/>
    <row r="40" spans="8:9" ht="15" customHeight="1" x14ac:dyDescent="0.25"/>
    <row r="46" spans="8:9" x14ac:dyDescent="0.25">
      <c r="H46" s="59" t="s">
        <v>44</v>
      </c>
      <c r="I46" s="14" t="s">
        <v>43</v>
      </c>
    </row>
    <row r="47" spans="8:9" x14ac:dyDescent="0.25">
      <c r="H47" s="58">
        <v>1</v>
      </c>
      <c r="I47" s="60">
        <f>+H47/1.2</f>
        <v>0.83333333333333337</v>
      </c>
    </row>
    <row r="49" spans="3:16" x14ac:dyDescent="0.25">
      <c r="F49" s="21" t="s">
        <v>10</v>
      </c>
      <c r="G49" s="21" t="s">
        <v>11</v>
      </c>
      <c r="H49" s="21" t="s">
        <v>12</v>
      </c>
      <c r="K49" s="21" t="s">
        <v>10</v>
      </c>
      <c r="L49" s="20" t="s">
        <v>2</v>
      </c>
      <c r="M49" s="146" t="s">
        <v>13</v>
      </c>
      <c r="N49" s="146"/>
      <c r="O49" s="146"/>
      <c r="P49" s="146"/>
    </row>
    <row r="50" spans="3:16" ht="15.75" thickBot="1" x14ac:dyDescent="0.3">
      <c r="E50" s="15" t="s">
        <v>8</v>
      </c>
      <c r="F50" s="15" t="s">
        <v>2</v>
      </c>
      <c r="G50" s="15" t="s">
        <v>3</v>
      </c>
      <c r="H50" s="15" t="s">
        <v>4</v>
      </c>
      <c r="I50" s="15" t="s">
        <v>7</v>
      </c>
      <c r="M50" s="146"/>
      <c r="N50" s="146"/>
      <c r="O50" s="146"/>
      <c r="P50" s="146"/>
    </row>
    <row r="51" spans="3:16" x14ac:dyDescent="0.25">
      <c r="C51" s="151" t="s">
        <v>26</v>
      </c>
      <c r="D51" s="38">
        <v>42156</v>
      </c>
      <c r="E51" s="7">
        <f>+O15-N15</f>
        <v>10172.638155296765</v>
      </c>
      <c r="F51" s="8">
        <v>0.4</v>
      </c>
      <c r="G51" s="8">
        <v>0.3</v>
      </c>
      <c r="H51" s="57">
        <f>1/(3.5)</f>
        <v>0.2857142857142857</v>
      </c>
      <c r="I51" s="13">
        <f>+E51*F51*G51*I$47*H51</f>
        <v>290.64680443705043</v>
      </c>
      <c r="M51" s="23"/>
      <c r="N51" s="23"/>
      <c r="O51" s="23"/>
      <c r="P51" s="23"/>
    </row>
    <row r="52" spans="3:16" x14ac:dyDescent="0.25">
      <c r="C52" s="152"/>
      <c r="D52" s="38">
        <v>42186</v>
      </c>
      <c r="E52" s="7">
        <f>+P15-O15</f>
        <v>16064.193417415467</v>
      </c>
      <c r="F52" s="8">
        <v>0.4</v>
      </c>
      <c r="G52" s="8">
        <v>0.3</v>
      </c>
      <c r="H52" s="8">
        <f>1/(3.5)</f>
        <v>0.2857142857142857</v>
      </c>
      <c r="I52" s="13">
        <f t="shared" ref="I52:I53" si="6">+E52*F52*G52*I$47*H52</f>
        <v>458.97695478329905</v>
      </c>
      <c r="K52" s="21" t="s">
        <v>11</v>
      </c>
      <c r="L52" s="20" t="s">
        <v>3</v>
      </c>
      <c r="M52" s="146" t="s">
        <v>14</v>
      </c>
      <c r="N52" s="146"/>
      <c r="O52" s="146"/>
      <c r="P52" s="146"/>
    </row>
    <row r="53" spans="3:16" ht="15.75" thickBot="1" x14ac:dyDescent="0.3">
      <c r="C53" s="153"/>
      <c r="D53" s="38">
        <v>42217</v>
      </c>
      <c r="E53" s="7">
        <f>+Q15-P15</f>
        <v>24312.370784381652</v>
      </c>
      <c r="F53" s="8">
        <v>0.4</v>
      </c>
      <c r="G53" s="8">
        <v>0.3</v>
      </c>
      <c r="H53" s="8">
        <f>1/(3.5)</f>
        <v>0.2857142857142857</v>
      </c>
      <c r="I53" s="13">
        <f t="shared" si="6"/>
        <v>694.63916526804712</v>
      </c>
      <c r="M53" s="146"/>
      <c r="N53" s="146"/>
      <c r="O53" s="146"/>
      <c r="P53" s="146"/>
    </row>
    <row r="55" spans="3:16" x14ac:dyDescent="0.25">
      <c r="H55" s="56"/>
      <c r="K55" s="21" t="s">
        <v>12</v>
      </c>
      <c r="L55" s="20" t="s">
        <v>4</v>
      </c>
      <c r="M55" s="146" t="s">
        <v>15</v>
      </c>
      <c r="N55" s="146"/>
      <c r="O55" s="146"/>
      <c r="P55" s="146"/>
    </row>
    <row r="56" spans="3:16" x14ac:dyDescent="0.25">
      <c r="H56" s="56"/>
      <c r="M56" s="146"/>
      <c r="N56" s="146"/>
      <c r="O56" s="146"/>
      <c r="P56" s="146"/>
    </row>
    <row r="57" spans="3:16" x14ac:dyDescent="0.25">
      <c r="H57" s="56"/>
      <c r="M57" s="146"/>
      <c r="N57" s="146"/>
      <c r="O57" s="146"/>
      <c r="P57" s="146"/>
    </row>
    <row r="58" spans="3:16" x14ac:dyDescent="0.25">
      <c r="M58" s="146"/>
      <c r="N58" s="146"/>
      <c r="O58" s="146"/>
      <c r="P58" s="146"/>
    </row>
    <row r="59" spans="3:16" ht="15.75" thickBot="1" x14ac:dyDescent="0.3">
      <c r="M59" s="146"/>
      <c r="N59" s="146"/>
      <c r="O59" s="146"/>
      <c r="P59" s="146"/>
    </row>
    <row r="60" spans="3:16" x14ac:dyDescent="0.25">
      <c r="C60" s="151" t="s">
        <v>55</v>
      </c>
    </row>
    <row r="61" spans="3:16" x14ac:dyDescent="0.25">
      <c r="C61" s="152"/>
      <c r="E61" s="39" t="s">
        <v>29</v>
      </c>
      <c r="F61" s="163" t="s">
        <v>27</v>
      </c>
      <c r="G61" s="163"/>
      <c r="H61" s="163"/>
      <c r="I61" s="15" t="s">
        <v>7</v>
      </c>
    </row>
    <row r="62" spans="3:16" ht="15.75" thickBot="1" x14ac:dyDescent="0.3">
      <c r="C62" s="153"/>
      <c r="E62" s="40">
        <f>+U15</f>
        <v>314744.41261848185</v>
      </c>
      <c r="F62" s="164">
        <f>0.074/1.13597</f>
        <v>6.5142565384649243E-2</v>
      </c>
      <c r="G62" s="164"/>
      <c r="H62" s="164"/>
      <c r="I62" s="13">
        <f>+E62*F62/5</f>
        <v>4100.6516956904943</v>
      </c>
    </row>
    <row r="67" spans="3:12" ht="15.75" thickBot="1" x14ac:dyDescent="0.3"/>
    <row r="68" spans="3:12" ht="15" customHeight="1" thickBot="1" x14ac:dyDescent="0.3">
      <c r="C68" s="165" t="s">
        <v>28</v>
      </c>
      <c r="D68" s="166"/>
      <c r="I68" s="103">
        <f>+I51+I52+I53+I62</f>
        <v>5544.9146201788908</v>
      </c>
    </row>
    <row r="73" spans="3:12" ht="15.75" thickBot="1" x14ac:dyDescent="0.3"/>
    <row r="74" spans="3:12" x14ac:dyDescent="0.25">
      <c r="E74" s="27"/>
      <c r="F74" s="28"/>
      <c r="G74" s="28"/>
      <c r="H74" s="28"/>
      <c r="I74" s="28"/>
      <c r="J74" s="28"/>
      <c r="K74" s="28"/>
      <c r="L74" s="29"/>
    </row>
    <row r="75" spans="3:12" x14ac:dyDescent="0.25">
      <c r="E75" s="30"/>
      <c r="F75" s="3"/>
      <c r="G75" s="3"/>
      <c r="H75" s="3"/>
      <c r="I75" s="3"/>
      <c r="J75" s="3"/>
      <c r="K75" s="3"/>
      <c r="L75" s="31"/>
    </row>
    <row r="76" spans="3:12" x14ac:dyDescent="0.25">
      <c r="E76" s="30"/>
      <c r="F76" s="3"/>
      <c r="G76" s="3"/>
      <c r="H76" s="3"/>
      <c r="I76" s="3"/>
      <c r="J76" s="3"/>
      <c r="K76" s="3"/>
      <c r="L76" s="31"/>
    </row>
    <row r="77" spans="3:12" ht="15.75" thickBot="1" x14ac:dyDescent="0.3">
      <c r="E77" s="30"/>
      <c r="F77" s="3"/>
      <c r="G77" s="3"/>
      <c r="H77" s="3"/>
      <c r="I77" s="3"/>
      <c r="J77" s="3"/>
      <c r="K77" s="3"/>
      <c r="L77" s="31"/>
    </row>
    <row r="78" spans="3:12" ht="15.75" thickBot="1" x14ac:dyDescent="0.3">
      <c r="E78" s="30"/>
      <c r="F78" s="154" t="s">
        <v>24</v>
      </c>
      <c r="G78" s="155"/>
      <c r="H78" s="155"/>
      <c r="I78" s="156"/>
      <c r="J78" s="3"/>
      <c r="K78" s="3"/>
      <c r="L78" s="31"/>
    </row>
    <row r="79" spans="3:12" x14ac:dyDescent="0.25">
      <c r="E79" s="30"/>
      <c r="F79" s="3" t="s">
        <v>17</v>
      </c>
      <c r="G79" s="3"/>
      <c r="H79" s="3"/>
      <c r="I79" s="3">
        <v>3</v>
      </c>
      <c r="J79" s="3"/>
      <c r="K79" s="3"/>
      <c r="L79" s="31"/>
    </row>
    <row r="80" spans="3:12" x14ac:dyDescent="0.25">
      <c r="E80" s="30"/>
      <c r="F80" s="3" t="s">
        <v>18</v>
      </c>
      <c r="G80" s="3"/>
      <c r="H80" s="3"/>
      <c r="I80" s="3">
        <v>2</v>
      </c>
      <c r="J80" s="3"/>
      <c r="K80" s="3"/>
      <c r="L80" s="31"/>
    </row>
    <row r="81" spans="5:12" x14ac:dyDescent="0.25">
      <c r="E81" s="30"/>
      <c r="F81" s="3" t="s">
        <v>41</v>
      </c>
      <c r="G81" s="3"/>
      <c r="H81" s="3"/>
      <c r="I81" s="3">
        <f>6*3</f>
        <v>18</v>
      </c>
      <c r="J81" s="3"/>
      <c r="K81" s="3"/>
      <c r="L81" s="31"/>
    </row>
    <row r="82" spans="5:12" x14ac:dyDescent="0.25">
      <c r="E82" s="30"/>
      <c r="F82" s="3" t="s">
        <v>22</v>
      </c>
      <c r="G82" s="3"/>
      <c r="H82" s="3"/>
      <c r="I82" s="3">
        <v>3</v>
      </c>
      <c r="J82" s="3"/>
      <c r="K82" s="3"/>
      <c r="L82" s="31"/>
    </row>
    <row r="83" spans="5:12" x14ac:dyDescent="0.25">
      <c r="E83" s="30"/>
      <c r="F83" s="3" t="s">
        <v>19</v>
      </c>
      <c r="G83" s="3"/>
      <c r="H83" s="3"/>
      <c r="I83" s="3">
        <v>15</v>
      </c>
      <c r="J83" s="3"/>
      <c r="K83" s="3"/>
      <c r="L83" s="31"/>
    </row>
    <row r="84" spans="5:12" x14ac:dyDescent="0.25">
      <c r="E84" s="30"/>
      <c r="F84" s="3" t="s">
        <v>16</v>
      </c>
      <c r="G84" s="3"/>
      <c r="H84" s="3"/>
      <c r="I84" s="36">
        <v>0.25</v>
      </c>
      <c r="J84" s="3"/>
      <c r="K84" s="3"/>
      <c r="L84" s="31"/>
    </row>
    <row r="85" spans="5:12" x14ac:dyDescent="0.25">
      <c r="E85" s="30"/>
      <c r="F85" s="3"/>
      <c r="G85" s="3"/>
      <c r="H85" s="3"/>
      <c r="I85" s="3"/>
      <c r="J85" s="3"/>
      <c r="K85" s="3"/>
      <c r="L85" s="31"/>
    </row>
    <row r="86" spans="5:12" x14ac:dyDescent="0.25">
      <c r="E86" s="30"/>
      <c r="F86" s="3" t="s">
        <v>20</v>
      </c>
      <c r="G86" s="3"/>
      <c r="H86" s="3"/>
      <c r="I86" s="32">
        <f>+I79*I80*I81*I82*I83*I84</f>
        <v>1215</v>
      </c>
      <c r="J86" s="3"/>
      <c r="K86" s="3"/>
      <c r="L86" s="31"/>
    </row>
    <row r="87" spans="5:12" x14ac:dyDescent="0.25">
      <c r="E87" s="30"/>
      <c r="F87" s="3"/>
      <c r="G87" s="3"/>
      <c r="H87" s="3"/>
      <c r="I87" s="3"/>
      <c r="J87" s="3"/>
      <c r="K87" s="3"/>
      <c r="L87" s="31"/>
    </row>
    <row r="88" spans="5:12" ht="15.75" thickBot="1" x14ac:dyDescent="0.3">
      <c r="E88" s="30"/>
      <c r="F88" s="3"/>
      <c r="G88" s="3"/>
      <c r="H88" s="3"/>
      <c r="I88" s="3"/>
      <c r="J88" s="3"/>
      <c r="K88" s="3"/>
      <c r="L88" s="31"/>
    </row>
    <row r="89" spans="5:12" ht="15.75" thickBot="1" x14ac:dyDescent="0.3">
      <c r="E89" s="30"/>
      <c r="F89" s="154" t="s">
        <v>23</v>
      </c>
      <c r="G89" s="155"/>
      <c r="H89" s="155"/>
      <c r="I89" s="156"/>
      <c r="J89" s="3"/>
      <c r="K89" s="3"/>
      <c r="L89" s="31"/>
    </row>
    <row r="90" spans="5:12" x14ac:dyDescent="0.25">
      <c r="E90" s="30"/>
      <c r="F90" s="3" t="s">
        <v>17</v>
      </c>
      <c r="G90" s="3"/>
      <c r="H90" s="3"/>
      <c r="I90" s="3">
        <v>3</v>
      </c>
      <c r="J90" s="3"/>
      <c r="K90" s="3"/>
      <c r="L90" s="31"/>
    </row>
    <row r="91" spans="5:12" x14ac:dyDescent="0.25">
      <c r="E91" s="30"/>
      <c r="F91" s="3" t="s">
        <v>18</v>
      </c>
      <c r="G91" s="3"/>
      <c r="H91" s="3"/>
      <c r="I91" s="3">
        <v>3</v>
      </c>
      <c r="J91" s="3"/>
      <c r="K91" s="3"/>
      <c r="L91" s="31"/>
    </row>
    <row r="92" spans="5:12" x14ac:dyDescent="0.25">
      <c r="E92" s="30"/>
      <c r="F92" s="3" t="s">
        <v>21</v>
      </c>
      <c r="G92" s="3"/>
      <c r="H92" s="3"/>
      <c r="I92" s="3">
        <f>6*3</f>
        <v>18</v>
      </c>
      <c r="J92" s="3"/>
      <c r="K92" s="3"/>
      <c r="L92" s="31"/>
    </row>
    <row r="93" spans="5:12" x14ac:dyDescent="0.25">
      <c r="E93" s="30"/>
      <c r="F93" s="3" t="s">
        <v>22</v>
      </c>
      <c r="G93" s="3"/>
      <c r="H93" s="3"/>
      <c r="I93" s="3">
        <v>3</v>
      </c>
      <c r="J93" s="3"/>
      <c r="K93" s="3"/>
      <c r="L93" s="31"/>
    </row>
    <row r="94" spans="5:12" x14ac:dyDescent="0.25">
      <c r="E94" s="30"/>
      <c r="F94" s="3" t="s">
        <v>19</v>
      </c>
      <c r="G94" s="3"/>
      <c r="H94" s="3"/>
      <c r="I94" s="3">
        <v>15</v>
      </c>
      <c r="J94" s="3"/>
      <c r="K94" s="3"/>
      <c r="L94" s="31"/>
    </row>
    <row r="95" spans="5:12" x14ac:dyDescent="0.25">
      <c r="E95" s="30"/>
      <c r="F95" s="3" t="s">
        <v>16</v>
      </c>
      <c r="G95" s="3"/>
      <c r="H95" s="3"/>
      <c r="I95" s="36">
        <v>0.25</v>
      </c>
      <c r="J95" s="3"/>
      <c r="K95" s="3"/>
      <c r="L95" s="31"/>
    </row>
    <row r="96" spans="5:12" x14ac:dyDescent="0.25">
      <c r="E96" s="30"/>
      <c r="F96" s="3"/>
      <c r="G96" s="3"/>
      <c r="H96" s="3"/>
      <c r="I96" s="3"/>
      <c r="J96" s="3"/>
      <c r="K96" s="3"/>
      <c r="L96" s="31"/>
    </row>
    <row r="97" spans="5:12" x14ac:dyDescent="0.25">
      <c r="E97" s="30"/>
      <c r="F97" s="3" t="s">
        <v>20</v>
      </c>
      <c r="G97" s="3"/>
      <c r="H97" s="3"/>
      <c r="I97" s="32">
        <f>+I90*I91*I92*I93*I94*I95</f>
        <v>1822.5</v>
      </c>
      <c r="J97" s="3"/>
      <c r="K97" s="3"/>
      <c r="L97" s="31"/>
    </row>
    <row r="98" spans="5:12" x14ac:dyDescent="0.25">
      <c r="E98" s="30"/>
      <c r="F98" s="3"/>
      <c r="G98" s="3"/>
      <c r="H98" s="3"/>
      <c r="I98" s="3"/>
      <c r="J98" s="3"/>
      <c r="K98" s="3"/>
      <c r="L98" s="31"/>
    </row>
    <row r="99" spans="5:12" ht="15.75" thickBot="1" x14ac:dyDescent="0.3">
      <c r="E99" s="30"/>
      <c r="F99" s="3"/>
      <c r="G99" s="3"/>
      <c r="H99" s="3"/>
      <c r="I99" s="3"/>
      <c r="J99" s="3"/>
      <c r="K99" s="3"/>
      <c r="L99" s="31"/>
    </row>
    <row r="100" spans="5:12" ht="15.75" thickBot="1" x14ac:dyDescent="0.3">
      <c r="E100" s="30"/>
      <c r="F100" s="154" t="s">
        <v>25</v>
      </c>
      <c r="G100" s="155"/>
      <c r="H100" s="155"/>
      <c r="I100" s="156"/>
      <c r="J100" s="3"/>
      <c r="K100" s="3"/>
      <c r="L100" s="31"/>
    </row>
    <row r="101" spans="5:12" x14ac:dyDescent="0.25">
      <c r="E101" s="30"/>
      <c r="F101" s="3" t="s">
        <v>17</v>
      </c>
      <c r="G101" s="3"/>
      <c r="H101" s="3"/>
      <c r="I101" s="3">
        <v>3</v>
      </c>
      <c r="J101" s="3"/>
      <c r="K101" s="3"/>
      <c r="L101" s="31"/>
    </row>
    <row r="102" spans="5:12" x14ac:dyDescent="0.25">
      <c r="E102" s="30"/>
      <c r="F102" s="3" t="s">
        <v>18</v>
      </c>
      <c r="G102" s="3"/>
      <c r="H102" s="3"/>
      <c r="I102" s="3">
        <v>3</v>
      </c>
      <c r="J102" s="3"/>
      <c r="K102" s="3"/>
      <c r="L102" s="31"/>
    </row>
    <row r="103" spans="5:12" x14ac:dyDescent="0.25">
      <c r="E103" s="30"/>
      <c r="F103" s="3" t="s">
        <v>21</v>
      </c>
      <c r="G103" s="3"/>
      <c r="H103" s="3"/>
      <c r="I103" s="3">
        <f>6*3</f>
        <v>18</v>
      </c>
      <c r="J103" s="3"/>
      <c r="K103" s="3"/>
      <c r="L103" s="31"/>
    </row>
    <row r="104" spans="5:12" x14ac:dyDescent="0.25">
      <c r="E104" s="30"/>
      <c r="F104" s="3" t="s">
        <v>22</v>
      </c>
      <c r="G104" s="3"/>
      <c r="H104" s="3"/>
      <c r="I104" s="3">
        <v>3</v>
      </c>
      <c r="J104" s="3"/>
      <c r="K104" s="3"/>
      <c r="L104" s="31"/>
    </row>
    <row r="105" spans="5:12" x14ac:dyDescent="0.25">
      <c r="E105" s="30"/>
      <c r="F105" s="3" t="s">
        <v>19</v>
      </c>
      <c r="G105" s="3"/>
      <c r="H105" s="3"/>
      <c r="I105" s="3">
        <v>15</v>
      </c>
      <c r="J105" s="3"/>
      <c r="K105" s="3"/>
      <c r="L105" s="31"/>
    </row>
    <row r="106" spans="5:12" x14ac:dyDescent="0.25">
      <c r="E106" s="30"/>
      <c r="F106" s="3" t="s">
        <v>16</v>
      </c>
      <c r="G106" s="3"/>
      <c r="H106" s="3"/>
      <c r="I106" s="36">
        <v>0.25</v>
      </c>
      <c r="J106" s="3"/>
      <c r="K106" s="3"/>
      <c r="L106" s="31"/>
    </row>
    <row r="107" spans="5:12" x14ac:dyDescent="0.25">
      <c r="E107" s="30"/>
      <c r="F107" s="3"/>
      <c r="G107" s="3"/>
      <c r="H107" s="3"/>
      <c r="I107" s="3"/>
      <c r="J107" s="3"/>
      <c r="K107" s="3"/>
      <c r="L107" s="31"/>
    </row>
    <row r="108" spans="5:12" x14ac:dyDescent="0.25">
      <c r="E108" s="30"/>
      <c r="F108" s="3" t="s">
        <v>20</v>
      </c>
      <c r="G108" s="3"/>
      <c r="H108" s="3"/>
      <c r="I108" s="32">
        <f>+I101*I102*I103*I104*I105*I106</f>
        <v>1822.5</v>
      </c>
      <c r="J108" s="3"/>
      <c r="K108" s="3"/>
      <c r="L108" s="31"/>
    </row>
    <row r="109" spans="5:12" x14ac:dyDescent="0.25">
      <c r="E109" s="30"/>
      <c r="F109" s="3"/>
      <c r="G109" s="3"/>
      <c r="H109" s="3"/>
      <c r="I109" s="32"/>
      <c r="J109" s="3"/>
      <c r="K109" s="3"/>
      <c r="L109" s="31"/>
    </row>
    <row r="110" spans="5:12" x14ac:dyDescent="0.25">
      <c r="E110" s="30"/>
      <c r="F110" s="3"/>
      <c r="G110" s="3"/>
      <c r="H110" s="3"/>
      <c r="I110" s="32"/>
      <c r="J110" s="3"/>
      <c r="K110" s="3"/>
      <c r="L110" s="31"/>
    </row>
    <row r="111" spans="5:12" x14ac:dyDescent="0.25">
      <c r="E111" s="30"/>
      <c r="F111" s="3" t="s">
        <v>185</v>
      </c>
      <c r="G111" s="3"/>
      <c r="H111" s="3"/>
      <c r="I111" s="32">
        <f>+(I79*I80*I82*I83+I90*I91*I93*I94+I101*I102*I104*I105)*8</f>
        <v>8640</v>
      </c>
      <c r="J111" s="3"/>
      <c r="K111" s="3"/>
      <c r="L111" s="31"/>
    </row>
    <row r="112" spans="5:12" ht="15.75" thickBot="1" x14ac:dyDescent="0.3">
      <c r="E112" s="33"/>
      <c r="F112" s="34"/>
      <c r="G112" s="34"/>
      <c r="H112" s="34"/>
      <c r="I112" s="34"/>
      <c r="J112" s="34"/>
      <c r="K112" s="34"/>
      <c r="L112" s="35"/>
    </row>
  </sheetData>
  <mergeCells count="15">
    <mergeCell ref="F89:I89"/>
    <mergeCell ref="F100:I100"/>
    <mergeCell ref="C2:C3"/>
    <mergeCell ref="D2:D3"/>
    <mergeCell ref="E5:H5"/>
    <mergeCell ref="C60:C62"/>
    <mergeCell ref="F61:H61"/>
    <mergeCell ref="F62:H62"/>
    <mergeCell ref="C68:D68"/>
    <mergeCell ref="M49:P50"/>
    <mergeCell ref="M52:P53"/>
    <mergeCell ref="C51:C53"/>
    <mergeCell ref="E7:J11"/>
    <mergeCell ref="F78:I78"/>
    <mergeCell ref="M55:P59"/>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N87"/>
  <sheetViews>
    <sheetView zoomScale="70" zoomScaleNormal="70" workbookViewId="0">
      <selection activeCell="B11" sqref="B11:N11"/>
    </sheetView>
  </sheetViews>
  <sheetFormatPr defaultColWidth="9.85546875" defaultRowHeight="15" x14ac:dyDescent="0.25"/>
  <cols>
    <col min="1" max="1" width="9.85546875" style="1"/>
    <col min="2" max="2" width="24" style="1" bestFit="1" customWidth="1"/>
    <col min="3" max="3" width="15.28515625" style="1" bestFit="1" customWidth="1"/>
    <col min="4" max="4" width="26" style="1" bestFit="1" customWidth="1"/>
    <col min="5" max="5" width="20.5703125" style="1" bestFit="1" customWidth="1"/>
    <col min="6" max="6" width="24.140625" style="1" customWidth="1"/>
    <col min="7" max="7" width="16.42578125" style="1" bestFit="1" customWidth="1"/>
    <col min="8" max="8" width="17.7109375" style="1" bestFit="1" customWidth="1"/>
    <col min="9" max="9" width="16.42578125" style="1" bestFit="1" customWidth="1"/>
    <col min="10" max="10" width="16.85546875" style="1" bestFit="1" customWidth="1"/>
    <col min="11" max="13" width="17.28515625" style="1" bestFit="1" customWidth="1"/>
    <col min="14" max="14" width="13.140625" style="1" bestFit="1" customWidth="1"/>
    <col min="15" max="16384" width="9.85546875" style="1"/>
  </cols>
  <sheetData>
    <row r="1" spans="1:14" x14ac:dyDescent="0.25">
      <c r="A1" s="3"/>
      <c r="B1" s="3"/>
      <c r="C1" s="3"/>
      <c r="D1" s="3"/>
    </row>
    <row r="2" spans="1:14" x14ac:dyDescent="0.25">
      <c r="A2" s="3"/>
      <c r="B2" s="3"/>
      <c r="C2" s="3"/>
      <c r="D2" s="3"/>
    </row>
    <row r="3" spans="1:14" x14ac:dyDescent="0.25">
      <c r="A3" s="3"/>
      <c r="B3" s="3"/>
      <c r="C3" s="3"/>
      <c r="D3" s="3"/>
      <c r="H3" s="4"/>
    </row>
    <row r="4" spans="1:14" ht="27" customHeight="1" x14ac:dyDescent="0.25">
      <c r="A4" s="3"/>
      <c r="B4" s="5" t="s">
        <v>0</v>
      </c>
      <c r="C4" s="18">
        <f>+'2015-2016'!U15</f>
        <v>314744.41261848185</v>
      </c>
      <c r="D4" s="16"/>
      <c r="E4" s="4"/>
      <c r="F4" s="4"/>
      <c r="I4" s="4"/>
      <c r="J4" s="4"/>
      <c r="K4" s="4"/>
      <c r="L4" s="4"/>
      <c r="M4" s="4"/>
    </row>
    <row r="5" spans="1:14" x14ac:dyDescent="0.25">
      <c r="A5" s="3"/>
      <c r="B5" s="4"/>
      <c r="C5" s="17"/>
      <c r="D5" s="16"/>
      <c r="E5" s="4"/>
      <c r="F5" s="4"/>
      <c r="G5" s="4"/>
      <c r="H5" s="4"/>
      <c r="I5" s="4"/>
      <c r="J5" s="4"/>
      <c r="K5" s="4"/>
      <c r="L5" s="4"/>
      <c r="M5" s="4"/>
    </row>
    <row r="6" spans="1:14" ht="33" customHeight="1" x14ac:dyDescent="0.25">
      <c r="A6" s="3"/>
      <c r="B6" s="5" t="s">
        <v>1</v>
      </c>
      <c r="C6" s="2">
        <f>+'2015-2016'!D7*0.85</f>
        <v>1.19</v>
      </c>
      <c r="D6" s="16"/>
      <c r="E6" s="4"/>
      <c r="F6" s="4"/>
      <c r="G6" s="4"/>
      <c r="H6" s="4"/>
      <c r="I6" s="4"/>
      <c r="J6" s="4"/>
      <c r="K6" s="4"/>
      <c r="L6" s="4"/>
      <c r="M6" s="4"/>
    </row>
    <row r="7" spans="1:14" x14ac:dyDescent="0.25">
      <c r="B7" s="4"/>
      <c r="C7" s="4"/>
      <c r="D7" s="4"/>
      <c r="E7" s="4"/>
      <c r="F7" s="4"/>
      <c r="G7" s="4"/>
      <c r="H7" s="4"/>
      <c r="I7" s="4"/>
      <c r="J7" s="4"/>
      <c r="K7" s="4"/>
      <c r="L7" s="4"/>
      <c r="M7" s="4"/>
    </row>
    <row r="8" spans="1:14" x14ac:dyDescent="0.25">
      <c r="B8" s="4"/>
      <c r="C8" s="4"/>
      <c r="D8" s="4"/>
      <c r="E8" s="4"/>
      <c r="F8" s="4"/>
      <c r="G8" s="4"/>
      <c r="H8" s="4"/>
      <c r="I8" s="4"/>
      <c r="J8" s="4"/>
      <c r="K8" s="4"/>
      <c r="L8" s="4"/>
      <c r="M8" s="4"/>
    </row>
    <row r="9" spans="1:14" x14ac:dyDescent="0.25">
      <c r="B9" s="4"/>
      <c r="C9" s="4"/>
      <c r="D9" s="4"/>
      <c r="E9" s="4"/>
      <c r="F9" s="4"/>
      <c r="G9" s="4"/>
      <c r="H9" s="4"/>
      <c r="I9" s="4"/>
      <c r="J9" s="4"/>
      <c r="K9" s="4"/>
      <c r="L9" s="4"/>
      <c r="M9" s="4"/>
    </row>
    <row r="10" spans="1:14" x14ac:dyDescent="0.25">
      <c r="B10" s="6">
        <v>42736</v>
      </c>
      <c r="C10" s="6">
        <v>42767</v>
      </c>
      <c r="D10" s="6">
        <v>42795</v>
      </c>
      <c r="E10" s="6">
        <v>42826</v>
      </c>
      <c r="F10" s="6">
        <v>42856</v>
      </c>
      <c r="G10" s="6">
        <v>42887</v>
      </c>
      <c r="H10" s="6">
        <v>42917</v>
      </c>
      <c r="I10" s="6">
        <v>42948</v>
      </c>
      <c r="J10" s="6">
        <v>42979</v>
      </c>
      <c r="K10" s="6">
        <v>43009</v>
      </c>
      <c r="L10" s="6">
        <v>43040</v>
      </c>
      <c r="M10" s="6">
        <v>43070</v>
      </c>
    </row>
    <row r="11" spans="1:14" x14ac:dyDescent="0.25">
      <c r="B11" s="137">
        <f>+IF(((C4-'2015-2016'!T15)*C$6+C4)&lt;('2015-2016'!$D$2),((C4-'2015-2016'!T15)*C$6+C4),('2015-2016'!$D$2))</f>
        <v>425888.51290876564</v>
      </c>
      <c r="C11" s="137">
        <f>+IF(((B11-$C4)*$C6+B11)&lt;'2015-2016'!$D$2,((B11-$C4)*$C6+B11),'2015-2016'!$D$2)</f>
        <v>558149.99225420342</v>
      </c>
      <c r="D11" s="137">
        <f>+IF(((C11-B11)*$C6+C11)&lt;'2015-2016'!$D$2,((C11-B11)*$C6+C11),'2015-2016'!$D$2)</f>
        <v>715541.15267527441</v>
      </c>
      <c r="E11" s="137">
        <f>+IF(((D11-C11)*$C6+D11)&lt;'2015-2016'!$D$2,((D11-C11)*$C6+D11),'2015-2016'!$D$2)</f>
        <v>902836.63357634889</v>
      </c>
      <c r="F11" s="137">
        <f>+IF(((E11-D11)*$C6+E11)&lt;'2015-2016'!$D$2,((E11-D11)*$C6+E11),'2015-2016'!$D$2)</f>
        <v>1125718.2558486275</v>
      </c>
      <c r="G11" s="137">
        <f>+IF(((F11-E11)*$C6+F11)&lt;'2015-2016'!$D$2,((F11-E11)*$C6+F11),'2015-2016'!$D$2)</f>
        <v>1390947.3863526392</v>
      </c>
      <c r="H11" s="137">
        <f>+IF(((G11-F11)*$C6+G11+I73)&lt;'2015-2016'!$D$2,((G11-F11)*$C6+G11+I73),'2015-2016'!$D$2)</f>
        <v>1713266.0516524131</v>
      </c>
      <c r="I11" s="137">
        <f>+IF(((H11-G11)*$C6+H11+I84)&lt;'2015-2016'!$D$2,((H11-G11)*$C6+H11+I84),'2015-2016'!$D$2)</f>
        <v>2106869.2633591443</v>
      </c>
      <c r="J11" s="137">
        <f>+IF(((I11-H11)*$C6+I11)&lt;'2015-2016'!$D$2,((I11-H11)*$C6+I11),'2015-2016'!$D$2)</f>
        <v>2575257.0852901544</v>
      </c>
      <c r="K11" s="137">
        <f>+IF(((J11-I11)*$C6+J11)&lt;'2015-2016'!$D$2,((J11-I11)*$C6+J11),'2015-2016'!$D$2)</f>
        <v>3132638.5933880564</v>
      </c>
      <c r="L11" s="137">
        <f>+IF(((K11-J11)*$C6+K11)&lt;'2015-2016'!$D$2,((K11-J11)*$C6+K11),'2015-2016'!$D$2)</f>
        <v>3795922.5880245594</v>
      </c>
      <c r="M11" s="137">
        <f>+IF(((L11-K11)*$C6+L11)&lt;'2015-2016'!$D$2,((L11-K11)*$C6+L11),'2015-2016'!$D$2)</f>
        <v>4585230.5416419981</v>
      </c>
      <c r="N11" s="138"/>
    </row>
    <row r="12" spans="1:14" x14ac:dyDescent="0.25">
      <c r="H12" s="10"/>
      <c r="I12" s="10"/>
    </row>
    <row r="31" spans="8:8" x14ac:dyDescent="0.25">
      <c r="H31" s="15" t="s">
        <v>43</v>
      </c>
    </row>
    <row r="32" spans="8:8" x14ac:dyDescent="0.25">
      <c r="H32" s="13">
        <f>+'2015-2016'!I47</f>
        <v>0.83333333333333337</v>
      </c>
    </row>
    <row r="34" spans="2:10" ht="15.75" thickBot="1" x14ac:dyDescent="0.3">
      <c r="E34" s="14" t="s">
        <v>2</v>
      </c>
      <c r="F34" s="14" t="s">
        <v>3</v>
      </c>
      <c r="G34" s="14" t="s">
        <v>4</v>
      </c>
      <c r="H34" s="15" t="s">
        <v>7</v>
      </c>
    </row>
    <row r="35" spans="2:10" ht="44.25" customHeight="1" thickBot="1" x14ac:dyDescent="0.3">
      <c r="B35" s="44" t="s">
        <v>26</v>
      </c>
      <c r="C35" s="41">
        <v>42583</v>
      </c>
      <c r="D35" s="42">
        <f>+I11</f>
        <v>2106869.2633591443</v>
      </c>
      <c r="E35" s="43">
        <v>0.4</v>
      </c>
      <c r="F35" s="43">
        <v>0.3</v>
      </c>
      <c r="G35" s="43">
        <f>1/(3.5)</f>
        <v>0.2857142857142857</v>
      </c>
      <c r="H35" s="42">
        <f>+D35*E35*F35*G35*H32</f>
        <v>60196.264667404117</v>
      </c>
      <c r="J35" s="56"/>
    </row>
    <row r="36" spans="2:10" x14ac:dyDescent="0.25">
      <c r="B36" s="45"/>
      <c r="H36" s="4"/>
    </row>
    <row r="37" spans="2:10" x14ac:dyDescent="0.25">
      <c r="B37" s="45"/>
      <c r="H37" s="4"/>
    </row>
    <row r="38" spans="2:10" x14ac:dyDescent="0.25">
      <c r="B38" s="45"/>
      <c r="H38" s="4"/>
    </row>
    <row r="39" spans="2:10" x14ac:dyDescent="0.25">
      <c r="B39" s="45"/>
      <c r="H39" s="4"/>
    </row>
    <row r="40" spans="2:10" x14ac:dyDescent="0.25">
      <c r="B40" s="45"/>
      <c r="H40" s="4"/>
    </row>
    <row r="41" spans="2:10" x14ac:dyDescent="0.25">
      <c r="B41" s="45"/>
      <c r="H41" s="4"/>
    </row>
    <row r="42" spans="2:10" x14ac:dyDescent="0.25">
      <c r="B42" s="45"/>
      <c r="H42" s="4"/>
    </row>
    <row r="43" spans="2:10" x14ac:dyDescent="0.25">
      <c r="B43" s="45"/>
      <c r="H43" s="4"/>
    </row>
    <row r="44" spans="2:10" x14ac:dyDescent="0.25">
      <c r="B44" s="45"/>
      <c r="H44" s="4"/>
    </row>
    <row r="45" spans="2:10" x14ac:dyDescent="0.25">
      <c r="B45" s="45"/>
      <c r="H45" s="4"/>
    </row>
    <row r="46" spans="2:10" x14ac:dyDescent="0.25">
      <c r="B46" s="45"/>
    </row>
    <row r="47" spans="2:10" ht="15.75" thickBot="1" x14ac:dyDescent="0.3">
      <c r="B47" s="45"/>
    </row>
    <row r="48" spans="2:10" x14ac:dyDescent="0.25">
      <c r="B48" s="167" t="s">
        <v>55</v>
      </c>
      <c r="H48" s="4"/>
    </row>
    <row r="49" spans="2:11" x14ac:dyDescent="0.25">
      <c r="B49" s="168"/>
      <c r="D49" s="39" t="s">
        <v>30</v>
      </c>
      <c r="E49" s="163" t="s">
        <v>27</v>
      </c>
      <c r="F49" s="163"/>
      <c r="G49" s="163"/>
      <c r="H49" s="15" t="s">
        <v>7</v>
      </c>
    </row>
    <row r="50" spans="2:11" ht="15.75" thickBot="1" x14ac:dyDescent="0.3">
      <c r="B50" s="169"/>
      <c r="D50" s="40">
        <f>+M11</f>
        <v>4585230.5416419981</v>
      </c>
      <c r="E50" s="164">
        <f>0.074/1.13597</f>
        <v>6.5142565384649243E-2</v>
      </c>
      <c r="F50" s="164"/>
      <c r="G50" s="164"/>
      <c r="H50" s="7">
        <f>+D50*E50/5</f>
        <v>59738.7360725209</v>
      </c>
    </row>
    <row r="51" spans="2:11" x14ac:dyDescent="0.25">
      <c r="B51" s="45"/>
      <c r="H51" s="4"/>
    </row>
    <row r="52" spans="2:11" x14ac:dyDescent="0.25">
      <c r="B52" s="45"/>
      <c r="H52" s="4"/>
    </row>
    <row r="53" spans="2:11" ht="15.75" thickBot="1" x14ac:dyDescent="0.3">
      <c r="B53" s="45"/>
      <c r="H53" s="4"/>
    </row>
    <row r="54" spans="2:11" ht="15.75" thickBot="1" x14ac:dyDescent="0.3">
      <c r="B54" s="165" t="s">
        <v>28</v>
      </c>
      <c r="C54" s="166"/>
      <c r="H54" s="104">
        <f>+H35+H50</f>
        <v>119935.00073992502</v>
      </c>
    </row>
    <row r="63" spans="2:11" ht="15.75" thickBot="1" x14ac:dyDescent="0.3"/>
    <row r="64" spans="2:11" ht="15.75" thickBot="1" x14ac:dyDescent="0.3">
      <c r="E64" s="27"/>
      <c r="F64" s="28"/>
      <c r="G64" s="28"/>
      <c r="H64" s="28"/>
      <c r="I64" s="28"/>
      <c r="J64" s="28"/>
      <c r="K64" s="29"/>
    </row>
    <row r="65" spans="5:11" ht="15.75" thickBot="1" x14ac:dyDescent="0.3">
      <c r="E65" s="30"/>
      <c r="F65" s="154" t="s">
        <v>23</v>
      </c>
      <c r="G65" s="155"/>
      <c r="H65" s="155"/>
      <c r="I65" s="156"/>
      <c r="J65" s="3"/>
      <c r="K65" s="31"/>
    </row>
    <row r="66" spans="5:11" x14ac:dyDescent="0.25">
      <c r="E66" s="30"/>
      <c r="F66" s="3" t="s">
        <v>17</v>
      </c>
      <c r="G66" s="3"/>
      <c r="H66" s="3"/>
      <c r="I66" s="3">
        <v>3</v>
      </c>
      <c r="J66" s="3"/>
      <c r="K66" s="31"/>
    </row>
    <row r="67" spans="5:11" x14ac:dyDescent="0.25">
      <c r="E67" s="30"/>
      <c r="F67" s="3" t="s">
        <v>18</v>
      </c>
      <c r="G67" s="3"/>
      <c r="H67" s="3"/>
      <c r="I67" s="3">
        <v>2</v>
      </c>
      <c r="J67" s="3"/>
      <c r="K67" s="31"/>
    </row>
    <row r="68" spans="5:11" x14ac:dyDescent="0.25">
      <c r="E68" s="30"/>
      <c r="F68" s="3" t="s">
        <v>21</v>
      </c>
      <c r="G68" s="3"/>
      <c r="H68" s="3"/>
      <c r="I68" s="3">
        <f>6*3</f>
        <v>18</v>
      </c>
      <c r="J68" s="3"/>
      <c r="K68" s="31"/>
    </row>
    <row r="69" spans="5:11" x14ac:dyDescent="0.25">
      <c r="E69" s="30"/>
      <c r="F69" s="3" t="s">
        <v>22</v>
      </c>
      <c r="G69" s="3"/>
      <c r="H69" s="3"/>
      <c r="I69" s="3">
        <v>8</v>
      </c>
      <c r="J69" s="3"/>
      <c r="K69" s="31"/>
    </row>
    <row r="70" spans="5:11" x14ac:dyDescent="0.25">
      <c r="E70" s="30"/>
      <c r="F70" s="3" t="s">
        <v>19</v>
      </c>
      <c r="G70" s="3"/>
      <c r="H70" s="3"/>
      <c r="I70" s="3">
        <v>31</v>
      </c>
      <c r="J70" s="3"/>
      <c r="K70" s="31"/>
    </row>
    <row r="71" spans="5:11" x14ac:dyDescent="0.25">
      <c r="E71" s="30"/>
      <c r="F71" s="3" t="s">
        <v>16</v>
      </c>
      <c r="G71" s="3"/>
      <c r="H71" s="3"/>
      <c r="I71" s="36">
        <v>0.25</v>
      </c>
      <c r="J71" s="3"/>
      <c r="K71" s="31"/>
    </row>
    <row r="72" spans="5:11" x14ac:dyDescent="0.25">
      <c r="E72" s="30"/>
      <c r="F72" s="3"/>
      <c r="G72" s="3"/>
      <c r="H72" s="3"/>
      <c r="I72" s="3"/>
      <c r="J72" s="3"/>
      <c r="K72" s="31"/>
    </row>
    <row r="73" spans="5:11" x14ac:dyDescent="0.25">
      <c r="E73" s="30"/>
      <c r="F73" s="3" t="s">
        <v>20</v>
      </c>
      <c r="G73" s="3"/>
      <c r="H73" s="3"/>
      <c r="I73" s="32">
        <f>+I66*I67*I68*I69*I70*I71</f>
        <v>6696</v>
      </c>
      <c r="J73" s="3"/>
      <c r="K73" s="31"/>
    </row>
    <row r="74" spans="5:11" x14ac:dyDescent="0.25">
      <c r="E74" s="30"/>
      <c r="F74" s="3"/>
      <c r="G74" s="3"/>
      <c r="H74" s="3"/>
      <c r="I74" s="3"/>
      <c r="J74" s="3"/>
      <c r="K74" s="31"/>
    </row>
    <row r="75" spans="5:11" ht="15.75" thickBot="1" x14ac:dyDescent="0.3">
      <c r="E75" s="30"/>
      <c r="F75" s="3"/>
      <c r="G75" s="3"/>
      <c r="H75" s="3"/>
      <c r="I75" s="3"/>
      <c r="J75" s="3"/>
      <c r="K75" s="31"/>
    </row>
    <row r="76" spans="5:11" ht="15.75" thickBot="1" x14ac:dyDescent="0.3">
      <c r="E76" s="30"/>
      <c r="F76" s="154" t="s">
        <v>25</v>
      </c>
      <c r="G76" s="155"/>
      <c r="H76" s="155"/>
      <c r="I76" s="156"/>
      <c r="J76" s="3"/>
      <c r="K76" s="31"/>
    </row>
    <row r="77" spans="5:11" x14ac:dyDescent="0.25">
      <c r="E77" s="30"/>
      <c r="F77" s="3" t="s">
        <v>17</v>
      </c>
      <c r="G77" s="3"/>
      <c r="H77" s="3"/>
      <c r="I77" s="3">
        <v>3</v>
      </c>
      <c r="J77" s="3"/>
      <c r="K77" s="31"/>
    </row>
    <row r="78" spans="5:11" x14ac:dyDescent="0.25">
      <c r="E78" s="30"/>
      <c r="F78" s="3" t="s">
        <v>18</v>
      </c>
      <c r="G78" s="3"/>
      <c r="H78" s="3"/>
      <c r="I78" s="3">
        <v>3</v>
      </c>
      <c r="J78" s="3"/>
      <c r="K78" s="31"/>
    </row>
    <row r="79" spans="5:11" x14ac:dyDescent="0.25">
      <c r="E79" s="30"/>
      <c r="F79" s="3" t="s">
        <v>21</v>
      </c>
      <c r="G79" s="3"/>
      <c r="H79" s="3"/>
      <c r="I79" s="3">
        <f>6*3</f>
        <v>18</v>
      </c>
      <c r="J79" s="3"/>
      <c r="K79" s="31"/>
    </row>
    <row r="80" spans="5:11" x14ac:dyDescent="0.25">
      <c r="E80" s="30"/>
      <c r="F80" s="3" t="s">
        <v>22</v>
      </c>
      <c r="G80" s="3"/>
      <c r="H80" s="3"/>
      <c r="I80" s="3">
        <v>8</v>
      </c>
      <c r="J80" s="3"/>
      <c r="K80" s="31"/>
    </row>
    <row r="81" spans="5:11" x14ac:dyDescent="0.25">
      <c r="E81" s="30"/>
      <c r="F81" s="3" t="s">
        <v>19</v>
      </c>
      <c r="G81" s="3"/>
      <c r="H81" s="3"/>
      <c r="I81" s="3">
        <v>31</v>
      </c>
      <c r="J81" s="3"/>
      <c r="K81" s="31"/>
    </row>
    <row r="82" spans="5:11" x14ac:dyDescent="0.25">
      <c r="E82" s="30"/>
      <c r="F82" s="3" t="s">
        <v>16</v>
      </c>
      <c r="G82" s="3"/>
      <c r="H82" s="3"/>
      <c r="I82" s="36">
        <v>0.25</v>
      </c>
      <c r="J82" s="3"/>
      <c r="K82" s="31"/>
    </row>
    <row r="83" spans="5:11" x14ac:dyDescent="0.25">
      <c r="E83" s="30"/>
      <c r="F83" s="3"/>
      <c r="G83" s="3"/>
      <c r="H83" s="3"/>
      <c r="I83" s="3"/>
      <c r="J83" s="3"/>
      <c r="K83" s="31"/>
    </row>
    <row r="84" spans="5:11" x14ac:dyDescent="0.25">
      <c r="E84" s="30"/>
      <c r="F84" s="3" t="s">
        <v>20</v>
      </c>
      <c r="G84" s="3"/>
      <c r="H84" s="3"/>
      <c r="I84" s="32">
        <f>+I77*I78*I79*I80*I81*I82</f>
        <v>10044</v>
      </c>
      <c r="J84" s="3"/>
      <c r="K84" s="31"/>
    </row>
    <row r="85" spans="5:11" x14ac:dyDescent="0.25">
      <c r="E85" s="30"/>
      <c r="J85" s="3"/>
      <c r="K85" s="31"/>
    </row>
    <row r="86" spans="5:11" x14ac:dyDescent="0.25">
      <c r="E86" s="30"/>
      <c r="F86" s="3" t="s">
        <v>42</v>
      </c>
      <c r="G86" s="3"/>
      <c r="H86" s="3"/>
      <c r="I86" s="32">
        <f>+(I66*I67*I69*I70+I77*I78*I80*I81)*8</f>
        <v>29760</v>
      </c>
      <c r="J86" s="3"/>
      <c r="K86" s="31"/>
    </row>
    <row r="87" spans="5:11" ht="15.75" thickBot="1" x14ac:dyDescent="0.3">
      <c r="E87" s="33"/>
      <c r="F87" s="34"/>
      <c r="G87" s="34"/>
      <c r="H87" s="34"/>
      <c r="I87" s="34"/>
      <c r="J87" s="34"/>
      <c r="K87" s="35"/>
    </row>
  </sheetData>
  <mergeCells count="6">
    <mergeCell ref="F65:I65"/>
    <mergeCell ref="F76:I76"/>
    <mergeCell ref="B48:B50"/>
    <mergeCell ref="E49:G49"/>
    <mergeCell ref="E50:G50"/>
    <mergeCell ref="B54:C5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Q80"/>
  <sheetViews>
    <sheetView zoomScale="70" zoomScaleNormal="70" workbookViewId="0">
      <selection activeCell="H47" sqref="H47"/>
    </sheetView>
  </sheetViews>
  <sheetFormatPr defaultColWidth="9.85546875" defaultRowHeight="15" x14ac:dyDescent="0.25"/>
  <cols>
    <col min="1" max="1" width="9.85546875" style="1"/>
    <col min="2" max="2" width="25.85546875" style="1" customWidth="1"/>
    <col min="3" max="3" width="17.7109375" style="1" bestFit="1" customWidth="1"/>
    <col min="4" max="4" width="26" style="1" bestFit="1" customWidth="1"/>
    <col min="5" max="5" width="22.7109375" style="1" bestFit="1" customWidth="1"/>
    <col min="6" max="6" width="26.28515625" style="1" bestFit="1" customWidth="1"/>
    <col min="7" max="7" width="40" style="1" bestFit="1" customWidth="1"/>
    <col min="8" max="8" width="19.42578125" style="1" bestFit="1" customWidth="1"/>
    <col min="9" max="9" width="18" style="1" bestFit="1" customWidth="1"/>
    <col min="10" max="10" width="18.140625" style="1" bestFit="1" customWidth="1"/>
    <col min="11" max="11" width="17.7109375" style="1" bestFit="1" customWidth="1"/>
    <col min="12" max="12" width="18.140625" style="1" bestFit="1" customWidth="1"/>
    <col min="13" max="13" width="17.7109375" style="1" bestFit="1" customWidth="1"/>
    <col min="14" max="14" width="14.7109375" style="1" bestFit="1" customWidth="1"/>
    <col min="15" max="16384" width="9.85546875" style="1"/>
  </cols>
  <sheetData>
    <row r="1" spans="1:17" x14ac:dyDescent="0.25">
      <c r="A1" s="3"/>
      <c r="B1" s="3"/>
      <c r="C1" s="3"/>
      <c r="D1" s="3"/>
    </row>
    <row r="2" spans="1:17" x14ac:dyDescent="0.25">
      <c r="A2" s="3"/>
      <c r="B2" s="3"/>
      <c r="C2" s="3"/>
      <c r="D2" s="3"/>
    </row>
    <row r="3" spans="1:17" x14ac:dyDescent="0.25">
      <c r="A3" s="3"/>
      <c r="B3" s="3"/>
      <c r="C3" s="3"/>
      <c r="D3" s="3"/>
      <c r="H3" s="4"/>
    </row>
    <row r="4" spans="1:17" ht="27" customHeight="1" x14ac:dyDescent="0.25">
      <c r="A4" s="3"/>
      <c r="B4" s="54" t="s">
        <v>0</v>
      </c>
      <c r="C4" s="18">
        <f>+'2017'!M11</f>
        <v>4585230.5416419981</v>
      </c>
      <c r="D4" s="16"/>
      <c r="E4" s="4"/>
      <c r="F4" s="4"/>
      <c r="J4" s="4"/>
      <c r="K4" s="4"/>
      <c r="L4" s="4"/>
      <c r="M4" s="4"/>
    </row>
    <row r="5" spans="1:17" x14ac:dyDescent="0.25">
      <c r="A5" s="3"/>
      <c r="B5" s="4"/>
      <c r="C5" s="17"/>
      <c r="D5" s="16"/>
      <c r="E5" s="4"/>
      <c r="F5" s="4"/>
      <c r="G5" s="4"/>
      <c r="H5" s="4"/>
      <c r="I5" s="4"/>
      <c r="J5" s="4"/>
      <c r="K5" s="4"/>
      <c r="L5" s="4"/>
      <c r="M5" s="4"/>
    </row>
    <row r="6" spans="1:17" ht="33" customHeight="1" x14ac:dyDescent="0.25">
      <c r="A6" s="3"/>
      <c r="B6" s="5" t="s">
        <v>1</v>
      </c>
      <c r="C6" s="126">
        <f>+'2017'!C6*0.85</f>
        <v>1.0114999999999998</v>
      </c>
      <c r="D6" s="16"/>
      <c r="E6" s="4"/>
      <c r="F6" s="4"/>
      <c r="G6" s="4"/>
      <c r="H6" s="4"/>
      <c r="I6" s="4"/>
      <c r="J6" s="4"/>
      <c r="K6" s="4"/>
      <c r="L6" s="4"/>
      <c r="M6" s="129"/>
    </row>
    <row r="7" spans="1:17" x14ac:dyDescent="0.25">
      <c r="B7" s="4"/>
      <c r="C7" s="4"/>
      <c r="D7" s="4"/>
      <c r="E7" s="4"/>
      <c r="F7" s="26"/>
      <c r="G7" s="4"/>
      <c r="H7" s="4"/>
      <c r="I7" s="4"/>
      <c r="J7" s="4"/>
      <c r="K7" s="4"/>
      <c r="L7" s="4"/>
      <c r="M7" s="26"/>
    </row>
    <row r="8" spans="1:17" x14ac:dyDescent="0.25">
      <c r="B8" s="4"/>
      <c r="C8" s="4"/>
      <c r="D8" s="4"/>
      <c r="E8" s="4"/>
      <c r="F8" s="4"/>
      <c r="H8" s="4"/>
      <c r="I8" s="4"/>
      <c r="J8" s="4"/>
      <c r="K8" s="4"/>
      <c r="L8" s="4"/>
      <c r="M8" s="4"/>
    </row>
    <row r="9" spans="1:17" x14ac:dyDescent="0.25">
      <c r="B9" s="4"/>
      <c r="C9" s="4"/>
      <c r="D9" s="4"/>
      <c r="E9" s="4"/>
      <c r="F9" s="4"/>
      <c r="H9" s="4"/>
      <c r="I9" s="4"/>
      <c r="J9" s="4"/>
      <c r="K9" s="4"/>
      <c r="L9" s="4"/>
      <c r="M9" s="4"/>
    </row>
    <row r="10" spans="1:17" x14ac:dyDescent="0.25">
      <c r="B10" s="6">
        <v>43101</v>
      </c>
      <c r="C10" s="6">
        <v>43132</v>
      </c>
      <c r="D10" s="6">
        <v>43160</v>
      </c>
      <c r="E10" s="6">
        <v>43191</v>
      </c>
      <c r="F10" s="6">
        <v>43221</v>
      </c>
      <c r="G10" s="6">
        <v>43252</v>
      </c>
      <c r="H10" s="6">
        <v>43282</v>
      </c>
      <c r="I10" s="6">
        <v>43313</v>
      </c>
      <c r="J10" s="6">
        <v>43344</v>
      </c>
      <c r="K10" s="6">
        <v>43374</v>
      </c>
      <c r="L10" s="6">
        <v>43405</v>
      </c>
      <c r="M10" s="6">
        <v>43435</v>
      </c>
      <c r="N10" s="4"/>
      <c r="O10" s="4"/>
      <c r="P10" s="4"/>
      <c r="Q10" s="4"/>
    </row>
    <row r="11" spans="1:17" ht="15.75" customHeight="1" x14ac:dyDescent="0.25">
      <c r="B11" s="7">
        <f>+IF(((C4-'2015-2016'!T15)*C$6+C4)&lt;'2015-2016'!$D$2,((C4-'2015-2016'!T15)*C$6+C4),'2015-2016'!$D$2)</f>
        <v>8999299.7463960256</v>
      </c>
      <c r="C11" s="7">
        <f>+IF(((B11-$C4)*$C6+B11)&lt;'2015-2016'!$D$2,((B11-$C4)*$C6+B11),'2015-2016'!$D$2)</f>
        <v>13464130.747004725</v>
      </c>
      <c r="D11" s="7">
        <f>+IF(((C11-B11)*$C6+C11)&lt;'2015-2016'!$D$2,((C11-B11)*$C6+C11),'2015-2016'!$D$2)</f>
        <v>17980307.304120425</v>
      </c>
      <c r="E11" s="7">
        <f>+IF(((D11-C11)*$C6+D11)&lt;'2015-2016'!$D$2,((D11-C11)*$C6+D11),'2015-2016'!$D$2)</f>
        <v>22548419.891642954</v>
      </c>
      <c r="F11" s="7">
        <f>+IF(((E11-D11)*$C6+E11)&lt;'2015-2016'!$D$2,((E11-D11)*$C6+E11),'2015-2016'!$D$2)</f>
        <v>27169065.773921993</v>
      </c>
      <c r="G11" s="7">
        <f>+IF(((F11-E11)*$C6+F11)&lt;'2015-2016'!$D$2,((F11-E11)*$C6+F11),'2015-2016'!$D$2)</f>
        <v>31842849.08384724</v>
      </c>
      <c r="H11" s="7">
        <f>+IF(((G11-F11)*$C6+G11+J65)&lt;'2015-2016'!$D$2,((G11-F11)*$C6+G11+J65),'2015-2016'!$D$2)</f>
        <v>36587120.901836626</v>
      </c>
      <c r="I11" s="7">
        <f>+IF(((H11-G11)*$C6+H11+J76)&lt;'2015-2016'!$D$2,((H11-G11)*$C6+H11+J76),'2015-2016'!$D$2)</f>
        <v>41402691.84573289</v>
      </c>
      <c r="J11" s="7">
        <f>+IF(((I11-H11)*$C6+I11)&lt;'2015-2016'!$D$2,((I11-H11)*$C6+I11),'2015-2016'!$D$2)</f>
        <v>46273641.855483964</v>
      </c>
      <c r="K11" s="7">
        <f>+IF(((J11-I11)*$C6+J11)&lt;'2015-2016'!$D$2,((J11-I11)*$C6+J11),'2015-2016'!$D$2)</f>
        <v>51200607.790347174</v>
      </c>
      <c r="L11" s="7">
        <f>+IF(((K11-J11)*$C6+K11)&lt;'2015-2016'!$D$2,((K11-J11)*$C6+K11),'2015-2016'!$D$2)</f>
        <v>56184233.833461307</v>
      </c>
      <c r="M11" s="7">
        <f>+IF(((L11-K11)*$C6+L11)&lt;'2015-2016'!$D$2,((L11-K11)*$C6+L11),'2015-2016'!$D$2)</f>
        <v>61225171.576071255</v>
      </c>
      <c r="N11" s="4"/>
      <c r="O11" s="4"/>
      <c r="P11" s="4"/>
      <c r="Q11" s="4"/>
    </row>
    <row r="12" spans="1:17" x14ac:dyDescent="0.25">
      <c r="G12" s="37"/>
      <c r="H12" s="10"/>
      <c r="I12" s="10"/>
      <c r="J12" s="37"/>
    </row>
    <row r="13" spans="1:17" x14ac:dyDescent="0.25">
      <c r="G13" s="37"/>
      <c r="H13" s="37"/>
      <c r="I13" s="37"/>
      <c r="J13" s="37"/>
    </row>
    <row r="14" spans="1:17" x14ac:dyDescent="0.25">
      <c r="G14" s="23"/>
      <c r="H14" s="23"/>
      <c r="I14" s="23"/>
      <c r="J14" s="23"/>
    </row>
    <row r="20" spans="8:9" x14ac:dyDescent="0.25">
      <c r="I20" s="56"/>
    </row>
    <row r="21" spans="8:9" x14ac:dyDescent="0.25">
      <c r="I21" s="56"/>
    </row>
    <row r="22" spans="8:9" x14ac:dyDescent="0.25">
      <c r="I22" s="56"/>
    </row>
    <row r="23" spans="8:9" x14ac:dyDescent="0.25">
      <c r="I23" s="56"/>
    </row>
    <row r="24" spans="8:9" x14ac:dyDescent="0.25">
      <c r="I24" s="55"/>
    </row>
    <row r="30" spans="8:9" x14ac:dyDescent="0.25">
      <c r="H30" s="15" t="s">
        <v>43</v>
      </c>
    </row>
    <row r="31" spans="8:9" x14ac:dyDescent="0.25">
      <c r="H31" s="13">
        <f>+'2015-2016'!I47</f>
        <v>0.83333333333333337</v>
      </c>
    </row>
    <row r="33" spans="2:10" x14ac:dyDescent="0.25">
      <c r="E33" s="14" t="s">
        <v>2</v>
      </c>
      <c r="F33" s="14" t="s">
        <v>3</v>
      </c>
      <c r="G33" s="14" t="s">
        <v>4</v>
      </c>
      <c r="H33" s="15" t="s">
        <v>7</v>
      </c>
    </row>
    <row r="34" spans="2:10" x14ac:dyDescent="0.25">
      <c r="C34" s="6">
        <f>+F10</f>
        <v>43221</v>
      </c>
      <c r="D34" s="7">
        <f>+F11</f>
        <v>27169065.773921993</v>
      </c>
      <c r="E34" s="19">
        <v>0.5</v>
      </c>
      <c r="F34" s="8">
        <v>0.3</v>
      </c>
      <c r="G34" s="8">
        <f>1/(3.5)</f>
        <v>0.2857142857142857</v>
      </c>
      <c r="H34" s="7">
        <f>+D34*E34*F34*G34*H31</f>
        <v>970323.777640071</v>
      </c>
      <c r="J34" s="56"/>
    </row>
    <row r="35" spans="2:10" x14ac:dyDescent="0.25">
      <c r="H35" s="4"/>
    </row>
    <row r="36" spans="2:10" x14ac:dyDescent="0.25">
      <c r="H36" s="4"/>
    </row>
    <row r="37" spans="2:10" x14ac:dyDescent="0.25">
      <c r="H37" s="4"/>
    </row>
    <row r="38" spans="2:10" x14ac:dyDescent="0.25">
      <c r="H38" s="4"/>
    </row>
    <row r="39" spans="2:10" x14ac:dyDescent="0.25">
      <c r="H39" s="4"/>
    </row>
    <row r="40" spans="2:10" ht="15.75" thickBot="1" x14ac:dyDescent="0.3">
      <c r="H40" s="4"/>
    </row>
    <row r="41" spans="2:10" x14ac:dyDescent="0.25">
      <c r="B41" s="167" t="s">
        <v>55</v>
      </c>
      <c r="H41" s="4"/>
    </row>
    <row r="42" spans="2:10" x14ac:dyDescent="0.25">
      <c r="B42" s="168"/>
      <c r="D42" s="39" t="s">
        <v>50</v>
      </c>
      <c r="E42" s="163" t="s">
        <v>27</v>
      </c>
      <c r="F42" s="163"/>
      <c r="G42" s="163"/>
      <c r="H42" s="15" t="s">
        <v>7</v>
      </c>
    </row>
    <row r="43" spans="2:10" ht="15.75" thickBot="1" x14ac:dyDescent="0.3">
      <c r="B43" s="169"/>
      <c r="D43" s="40">
        <f>+M11</f>
        <v>61225171.576071255</v>
      </c>
      <c r="E43" s="164">
        <f>0.074/1.13597</f>
        <v>6.5142565384649243E-2</v>
      </c>
      <c r="F43" s="164"/>
      <c r="G43" s="164"/>
      <c r="H43" s="7">
        <f>+D43*E43/5</f>
        <v>797672.94851611799</v>
      </c>
    </row>
    <row r="44" spans="2:10" x14ac:dyDescent="0.25">
      <c r="B44" s="45"/>
      <c r="H44" s="4"/>
    </row>
    <row r="45" spans="2:10" x14ac:dyDescent="0.25">
      <c r="B45" s="45"/>
      <c r="H45" s="4"/>
    </row>
    <row r="46" spans="2:10" ht="15.75" thickBot="1" x14ac:dyDescent="0.3">
      <c r="B46" s="45"/>
      <c r="H46" s="4"/>
    </row>
    <row r="47" spans="2:10" ht="15.75" thickBot="1" x14ac:dyDescent="0.3">
      <c r="B47" s="165" t="s">
        <v>28</v>
      </c>
      <c r="C47" s="166"/>
      <c r="H47" s="104">
        <f>+H34+H43</f>
        <v>1767996.7261561891</v>
      </c>
    </row>
    <row r="55" spans="6:12" ht="15.75" thickBot="1" x14ac:dyDescent="0.3"/>
    <row r="56" spans="6:12" ht="15.75" thickBot="1" x14ac:dyDescent="0.3">
      <c r="F56" s="27"/>
      <c r="G56" s="28"/>
      <c r="H56" s="28"/>
      <c r="I56" s="28"/>
      <c r="J56" s="28"/>
      <c r="K56" s="28"/>
      <c r="L56" s="29"/>
    </row>
    <row r="57" spans="6:12" ht="15.75" thickBot="1" x14ac:dyDescent="0.3">
      <c r="F57" s="30"/>
      <c r="G57" s="154" t="s">
        <v>23</v>
      </c>
      <c r="H57" s="155"/>
      <c r="I57" s="155"/>
      <c r="J57" s="156"/>
      <c r="K57" s="3"/>
      <c r="L57" s="31"/>
    </row>
    <row r="58" spans="6:12" x14ac:dyDescent="0.25">
      <c r="F58" s="30"/>
      <c r="G58" s="3" t="s">
        <v>17</v>
      </c>
      <c r="H58" s="3"/>
      <c r="I58" s="3"/>
      <c r="J58" s="3">
        <v>5</v>
      </c>
      <c r="K58" s="3"/>
      <c r="L58" s="31"/>
    </row>
    <row r="59" spans="6:12" x14ac:dyDescent="0.25">
      <c r="F59" s="30"/>
      <c r="G59" s="3" t="s">
        <v>18</v>
      </c>
      <c r="H59" s="3"/>
      <c r="I59" s="3"/>
      <c r="J59" s="3">
        <v>3</v>
      </c>
      <c r="K59" s="3"/>
      <c r="L59" s="31"/>
    </row>
    <row r="60" spans="6:12" x14ac:dyDescent="0.25">
      <c r="F60" s="30"/>
      <c r="G60" s="3" t="s">
        <v>21</v>
      </c>
      <c r="H60" s="3"/>
      <c r="I60" s="3"/>
      <c r="J60" s="3">
        <f>6*3</f>
        <v>18</v>
      </c>
      <c r="K60" s="3"/>
      <c r="L60" s="31"/>
    </row>
    <row r="61" spans="6:12" x14ac:dyDescent="0.25">
      <c r="F61" s="30"/>
      <c r="G61" s="3" t="s">
        <v>22</v>
      </c>
      <c r="H61" s="3"/>
      <c r="I61" s="3"/>
      <c r="J61" s="3">
        <v>8</v>
      </c>
      <c r="K61" s="3"/>
      <c r="L61" s="31"/>
    </row>
    <row r="62" spans="6:12" x14ac:dyDescent="0.25">
      <c r="F62" s="30"/>
      <c r="G62" s="3" t="s">
        <v>19</v>
      </c>
      <c r="H62" s="3"/>
      <c r="I62" s="3"/>
      <c r="J62" s="3">
        <v>31</v>
      </c>
      <c r="K62" s="3"/>
      <c r="L62" s="31"/>
    </row>
    <row r="63" spans="6:12" x14ac:dyDescent="0.25">
      <c r="F63" s="30"/>
      <c r="G63" s="3" t="s">
        <v>16</v>
      </c>
      <c r="H63" s="3"/>
      <c r="I63" s="3"/>
      <c r="J63" s="36">
        <v>0.25</v>
      </c>
      <c r="K63" s="3"/>
      <c r="L63" s="31"/>
    </row>
    <row r="64" spans="6:12" x14ac:dyDescent="0.25">
      <c r="F64" s="30"/>
      <c r="G64" s="3"/>
      <c r="H64" s="3"/>
      <c r="I64" s="3"/>
      <c r="J64" s="3"/>
      <c r="K64" s="3"/>
      <c r="L64" s="31"/>
    </row>
    <row r="65" spans="6:12" x14ac:dyDescent="0.25">
      <c r="F65" s="30"/>
      <c r="G65" s="3" t="s">
        <v>20</v>
      </c>
      <c r="H65" s="3"/>
      <c r="I65" s="3"/>
      <c r="J65" s="32">
        <f>+J58*J59*J60*J61*J62*J63</f>
        <v>16740</v>
      </c>
      <c r="K65" s="3"/>
      <c r="L65" s="31"/>
    </row>
    <row r="66" spans="6:12" x14ac:dyDescent="0.25">
      <c r="F66" s="30"/>
      <c r="G66" s="3"/>
      <c r="H66" s="3"/>
      <c r="I66" s="3"/>
      <c r="J66" s="3"/>
      <c r="K66" s="3"/>
      <c r="L66" s="31"/>
    </row>
    <row r="67" spans="6:12" ht="15.75" thickBot="1" x14ac:dyDescent="0.3">
      <c r="F67" s="30"/>
      <c r="G67" s="3"/>
      <c r="H67" s="3"/>
      <c r="I67" s="3"/>
      <c r="J67" s="3"/>
      <c r="K67" s="3"/>
      <c r="L67" s="31"/>
    </row>
    <row r="68" spans="6:12" ht="15.75" thickBot="1" x14ac:dyDescent="0.3">
      <c r="F68" s="30"/>
      <c r="G68" s="154" t="s">
        <v>25</v>
      </c>
      <c r="H68" s="155"/>
      <c r="I68" s="155"/>
      <c r="J68" s="156"/>
      <c r="K68" s="3"/>
      <c r="L68" s="31"/>
    </row>
    <row r="69" spans="6:12" x14ac:dyDescent="0.25">
      <c r="F69" s="30"/>
      <c r="G69" s="3" t="s">
        <v>17</v>
      </c>
      <c r="H69" s="3"/>
      <c r="I69" s="3"/>
      <c r="J69" s="3">
        <v>5</v>
      </c>
      <c r="K69" s="3"/>
      <c r="L69" s="31"/>
    </row>
    <row r="70" spans="6:12" x14ac:dyDescent="0.25">
      <c r="F70" s="30"/>
      <c r="G70" s="3" t="s">
        <v>18</v>
      </c>
      <c r="H70" s="3"/>
      <c r="I70" s="3"/>
      <c r="J70" s="3">
        <v>3</v>
      </c>
      <c r="K70" s="3"/>
      <c r="L70" s="31"/>
    </row>
    <row r="71" spans="6:12" x14ac:dyDescent="0.25">
      <c r="F71" s="30"/>
      <c r="G71" s="3" t="s">
        <v>21</v>
      </c>
      <c r="H71" s="3"/>
      <c r="I71" s="3"/>
      <c r="J71" s="3">
        <f>6*3</f>
        <v>18</v>
      </c>
      <c r="K71" s="3"/>
      <c r="L71" s="31"/>
    </row>
    <row r="72" spans="6:12" x14ac:dyDescent="0.25">
      <c r="F72" s="30"/>
      <c r="G72" s="3" t="s">
        <v>22</v>
      </c>
      <c r="H72" s="3"/>
      <c r="I72" s="3"/>
      <c r="J72" s="3">
        <v>8</v>
      </c>
      <c r="K72" s="3"/>
      <c r="L72" s="31"/>
    </row>
    <row r="73" spans="6:12" x14ac:dyDescent="0.25">
      <c r="F73" s="30"/>
      <c r="G73" s="3" t="s">
        <v>19</v>
      </c>
      <c r="H73" s="3"/>
      <c r="I73" s="3"/>
      <c r="J73" s="3">
        <v>31</v>
      </c>
      <c r="K73" s="3"/>
      <c r="L73" s="31"/>
    </row>
    <row r="74" spans="6:12" x14ac:dyDescent="0.25">
      <c r="F74" s="30"/>
      <c r="G74" s="3" t="s">
        <v>16</v>
      </c>
      <c r="H74" s="3"/>
      <c r="I74" s="3"/>
      <c r="J74" s="36">
        <v>0.25</v>
      </c>
      <c r="K74" s="3"/>
      <c r="L74" s="31"/>
    </row>
    <row r="75" spans="6:12" x14ac:dyDescent="0.25">
      <c r="F75" s="30"/>
      <c r="G75" s="3"/>
      <c r="H75" s="3"/>
      <c r="I75" s="3"/>
      <c r="J75" s="3"/>
      <c r="K75" s="3"/>
      <c r="L75" s="31"/>
    </row>
    <row r="76" spans="6:12" x14ac:dyDescent="0.25">
      <c r="F76" s="30"/>
      <c r="G76" s="3" t="s">
        <v>20</v>
      </c>
      <c r="H76" s="3"/>
      <c r="I76" s="3"/>
      <c r="J76" s="32">
        <f>+J69*J70*J71*J72*J73*J74</f>
        <v>16740</v>
      </c>
      <c r="K76" s="3"/>
      <c r="L76" s="31"/>
    </row>
    <row r="77" spans="6:12" x14ac:dyDescent="0.25">
      <c r="F77" s="30"/>
      <c r="G77" s="3"/>
      <c r="H77" s="3"/>
      <c r="I77" s="3"/>
      <c r="J77" s="32"/>
      <c r="K77" s="3"/>
      <c r="L77" s="31"/>
    </row>
    <row r="78" spans="6:12" x14ac:dyDescent="0.25">
      <c r="F78" s="30"/>
      <c r="K78" s="3"/>
      <c r="L78" s="31"/>
    </row>
    <row r="79" spans="6:12" x14ac:dyDescent="0.25">
      <c r="F79" s="30"/>
      <c r="G79" s="3" t="s">
        <v>186</v>
      </c>
      <c r="H79" s="3"/>
      <c r="I79" s="3"/>
      <c r="J79" s="32">
        <f>+(J58*J59*J61*J62+J69*J70*J72*J73)*8</f>
        <v>59520</v>
      </c>
      <c r="K79" s="3"/>
      <c r="L79" s="31"/>
    </row>
    <row r="80" spans="6:12" ht="15.75" thickBot="1" x14ac:dyDescent="0.3">
      <c r="F80" s="33"/>
      <c r="G80" s="34"/>
      <c r="H80" s="34"/>
      <c r="I80" s="34"/>
      <c r="J80" s="34"/>
      <c r="K80" s="34"/>
      <c r="L80" s="35"/>
    </row>
  </sheetData>
  <mergeCells count="6">
    <mergeCell ref="G57:J57"/>
    <mergeCell ref="G68:J68"/>
    <mergeCell ref="B41:B43"/>
    <mergeCell ref="E42:G42"/>
    <mergeCell ref="E43:G43"/>
    <mergeCell ref="B47:C47"/>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Q80"/>
  <sheetViews>
    <sheetView zoomScale="71" zoomScaleNormal="71" workbookViewId="0">
      <selection activeCell="H34" sqref="H34"/>
    </sheetView>
  </sheetViews>
  <sheetFormatPr defaultColWidth="9.85546875" defaultRowHeight="15" x14ac:dyDescent="0.25"/>
  <cols>
    <col min="1" max="1" width="9.85546875" style="1"/>
    <col min="2" max="2" width="20.28515625" style="1" bestFit="1" customWidth="1"/>
    <col min="3" max="3" width="19" style="1" bestFit="1" customWidth="1"/>
    <col min="4" max="4" width="26" style="1" bestFit="1" customWidth="1"/>
    <col min="5" max="5" width="20.28515625" style="1" bestFit="1" customWidth="1"/>
    <col min="6" max="6" width="23.85546875" style="1" bestFit="1" customWidth="1"/>
    <col min="7" max="7" width="31.7109375" style="1" customWidth="1"/>
    <col min="8" max="8" width="19" style="1" bestFit="1" customWidth="1"/>
    <col min="9" max="9" width="18.7109375" style="1" bestFit="1" customWidth="1"/>
    <col min="10" max="11" width="19.42578125" style="1" bestFit="1" customWidth="1"/>
    <col min="12" max="13" width="19" style="1" bestFit="1" customWidth="1"/>
    <col min="14" max="14" width="14.7109375" style="1" bestFit="1" customWidth="1"/>
    <col min="15" max="16384" width="9.85546875" style="1"/>
  </cols>
  <sheetData>
    <row r="1" spans="1:17" x14ac:dyDescent="0.25">
      <c r="A1" s="3"/>
      <c r="B1" s="3"/>
      <c r="C1" s="3"/>
      <c r="D1" s="3"/>
    </row>
    <row r="2" spans="1:17" x14ac:dyDescent="0.25">
      <c r="A2" s="3"/>
      <c r="B2" s="3"/>
      <c r="C2" s="3"/>
      <c r="D2" s="3"/>
    </row>
    <row r="3" spans="1:17" x14ac:dyDescent="0.25">
      <c r="A3" s="3"/>
      <c r="B3" s="3"/>
      <c r="C3" s="3"/>
      <c r="D3" s="3"/>
      <c r="H3" s="4"/>
    </row>
    <row r="4" spans="1:17" ht="27" customHeight="1" x14ac:dyDescent="0.25">
      <c r="A4" s="3"/>
      <c r="B4" s="54" t="s">
        <v>0</v>
      </c>
      <c r="C4" s="18">
        <f>+'2018'!M11</f>
        <v>61225171.576071255</v>
      </c>
      <c r="D4" s="16"/>
      <c r="E4" s="4"/>
      <c r="F4" s="4"/>
      <c r="J4" s="4"/>
      <c r="K4" s="4"/>
      <c r="L4" s="4"/>
      <c r="M4" s="4"/>
    </row>
    <row r="5" spans="1:17" x14ac:dyDescent="0.25">
      <c r="A5" s="3"/>
      <c r="B5" s="4"/>
      <c r="C5" s="17"/>
      <c r="D5" s="16"/>
      <c r="E5" s="4"/>
      <c r="F5" s="4"/>
      <c r="G5" s="4"/>
      <c r="H5" s="4"/>
      <c r="I5" s="4"/>
      <c r="J5" s="4"/>
      <c r="K5" s="4"/>
      <c r="L5" s="4"/>
      <c r="M5" s="4"/>
    </row>
    <row r="6" spans="1:17" ht="33" customHeight="1" x14ac:dyDescent="0.25">
      <c r="A6" s="3"/>
      <c r="B6" s="51" t="s">
        <v>1</v>
      </c>
      <c r="C6" s="126">
        <f>+'2018'!C6*0.85</f>
        <v>0.85977499999999984</v>
      </c>
      <c r="D6" s="16"/>
      <c r="E6" s="4"/>
      <c r="F6" s="4"/>
      <c r="G6" s="4"/>
      <c r="H6" s="4"/>
      <c r="I6" s="4"/>
      <c r="J6" s="4"/>
      <c r="K6" s="4"/>
      <c r="L6" s="4"/>
      <c r="M6" s="129"/>
    </row>
    <row r="7" spans="1:17" x14ac:dyDescent="0.25">
      <c r="B7" s="4"/>
      <c r="C7" s="4"/>
      <c r="D7" s="4"/>
      <c r="E7" s="4"/>
      <c r="F7" s="26"/>
      <c r="G7" s="4"/>
      <c r="H7" s="4"/>
      <c r="I7" s="4"/>
      <c r="J7" s="4"/>
      <c r="K7" s="4"/>
      <c r="L7" s="4"/>
      <c r="M7" s="26"/>
    </row>
    <row r="8" spans="1:17" x14ac:dyDescent="0.25">
      <c r="B8" s="4"/>
      <c r="C8" s="4"/>
      <c r="D8" s="4"/>
      <c r="E8" s="4"/>
      <c r="F8" s="4"/>
      <c r="H8" s="4"/>
      <c r="I8" s="4"/>
      <c r="J8" s="4"/>
      <c r="K8" s="4"/>
      <c r="L8" s="4"/>
      <c r="M8" s="4"/>
    </row>
    <row r="9" spans="1:17" x14ac:dyDescent="0.25">
      <c r="B9" s="4"/>
      <c r="C9" s="4"/>
      <c r="D9" s="4"/>
      <c r="E9" s="4"/>
      <c r="F9" s="4"/>
      <c r="H9" s="4"/>
      <c r="I9" s="4"/>
      <c r="J9" s="4"/>
      <c r="K9" s="4"/>
      <c r="L9" s="4"/>
      <c r="M9" s="4"/>
    </row>
    <row r="10" spans="1:17" x14ac:dyDescent="0.25">
      <c r="B10" s="6">
        <v>43466</v>
      </c>
      <c r="C10" s="6">
        <v>43497</v>
      </c>
      <c r="D10" s="6">
        <v>43525</v>
      </c>
      <c r="E10" s="6">
        <v>43556</v>
      </c>
      <c r="F10" s="6">
        <v>43586</v>
      </c>
      <c r="G10" s="6">
        <v>43617</v>
      </c>
      <c r="H10" s="6">
        <v>43647</v>
      </c>
      <c r="I10" s="6">
        <v>43678</v>
      </c>
      <c r="J10" s="6">
        <v>43709</v>
      </c>
      <c r="K10" s="6">
        <v>43739</v>
      </c>
      <c r="L10" s="6">
        <v>43770</v>
      </c>
      <c r="M10" s="6">
        <v>43800</v>
      </c>
      <c r="N10" s="4"/>
      <c r="O10" s="4"/>
      <c r="P10" s="4"/>
      <c r="Q10" s="4"/>
    </row>
    <row r="11" spans="1:17" ht="15.75" customHeight="1" x14ac:dyDescent="0.25">
      <c r="B11" s="7">
        <f>+IF(((C4-'2015-2016'!T15)*C$6+C4)&lt;'2015-2016'!$D$2,((C4-'2015-2016'!T15)*C$6+C4),'2015-2016'!$D$2)</f>
        <v>113674735.70298859</v>
      </c>
      <c r="C11" s="7">
        <f>+IF(((B11-$C4)*$C6+B11)&lt;'2015-2016'!$D$2,(((B11-$C4)*$C6+B11)),'2015-2016'!$D$2)</f>
        <v>158769559.70020893</v>
      </c>
      <c r="D11" s="7">
        <f>+IF(((C11-B11)*$C6+C11)&lt;'2015-2016'!$D$2,((C11-B11)*$C6+C11),'2015-2016'!$D$2)</f>
        <v>197540962.00241905</v>
      </c>
      <c r="E11" s="7">
        <f>+IF(((D11-C11)*$C6+D11)&lt;'2015-2016'!$D$2,((D11-C11)*$C6+D11),'2015-2016'!$D$2)</f>
        <v>230875644.41680175</v>
      </c>
      <c r="F11" s="7">
        <f>+IF(((E11-D11)*$C6+E11)&lt;'2015-2016'!$D$2,((E11-D11)*$C6+E11),'2015-2016'!$D$2)</f>
        <v>259535970.98962763</v>
      </c>
      <c r="G11" s="7">
        <f>+IF(((F11-E11)*$C6+F11)&lt;'2015-2016'!$D$2,((F11-E11)*$C6+F11),'2015-2016'!$D$2)</f>
        <v>284177403.26877898</v>
      </c>
      <c r="H11" s="7">
        <f>+IF(((G11-F11)*$C6+G11+J65)&lt;'2015-2016'!$D$2,((G11-F11)*$C6+G11+J65),'2015-2016'!$D$2)</f>
        <v>305383578.7065863</v>
      </c>
      <c r="I11" s="7">
        <f>+IF(((H11-G11)*$C6+H11+J76)&lt;'2015-2016'!$D$2,((H11-G11)*$C6+H11+J76),'2015-2016'!$D$2)</f>
        <v>323636206.19362712</v>
      </c>
      <c r="J11" s="7">
        <f>+IF(((I11-H11)*$C6+I11)&lt;'2015-2016'!$D$2,((I11-H11)*$C6+I11),'2015-2016'!$D$2)</f>
        <v>339329358.99129766</v>
      </c>
      <c r="K11" s="7">
        <f>+IF(((J11-I11)*$C6+J11)&lt;'2015-2016'!$D$2,((J11-I11)*$C6+J11),'2015-2016'!$D$2)</f>
        <v>352821939.43791485</v>
      </c>
      <c r="L11" s="7">
        <f>+IF(((K11-J11)*$C6+K11)&lt;'2015-2016'!$D$2,((K11-J11)*$C6+K11),'2015-2016'!$D$2)</f>
        <v>364422522.79140514</v>
      </c>
      <c r="M11" s="7">
        <f>+IF(((L11-K11)*$C6+L11)&lt;'2015-2016'!$D$2,((L11-K11)*$C6+L11),'2015-2016'!$D$2)</f>
        <v>374396414.34415227</v>
      </c>
      <c r="N11" s="4"/>
      <c r="O11" s="4"/>
      <c r="P11" s="4"/>
      <c r="Q11" s="4"/>
    </row>
    <row r="12" spans="1:17" x14ac:dyDescent="0.25">
      <c r="G12" s="37"/>
      <c r="H12" s="10"/>
      <c r="I12" s="10"/>
      <c r="J12" s="37"/>
    </row>
    <row r="13" spans="1:17" x14ac:dyDescent="0.25">
      <c r="G13" s="37"/>
      <c r="H13" s="37"/>
      <c r="I13" s="37"/>
      <c r="J13" s="37"/>
    </row>
    <row r="14" spans="1:17" x14ac:dyDescent="0.25">
      <c r="G14" s="52"/>
      <c r="H14" s="52"/>
      <c r="I14" s="52"/>
      <c r="J14" s="52"/>
    </row>
    <row r="20" spans="8:9" x14ac:dyDescent="0.25">
      <c r="I20" s="56"/>
    </row>
    <row r="21" spans="8:9" x14ac:dyDescent="0.25">
      <c r="I21" s="56"/>
    </row>
    <row r="22" spans="8:9" x14ac:dyDescent="0.25">
      <c r="I22" s="56"/>
    </row>
    <row r="23" spans="8:9" x14ac:dyDescent="0.25">
      <c r="I23" s="56"/>
    </row>
    <row r="24" spans="8:9" x14ac:dyDescent="0.25">
      <c r="I24" s="55"/>
    </row>
    <row r="30" spans="8:9" x14ac:dyDescent="0.25">
      <c r="H30" s="15" t="s">
        <v>43</v>
      </c>
    </row>
    <row r="31" spans="8:9" x14ac:dyDescent="0.25">
      <c r="H31" s="13">
        <f>+'2015-2016'!I47</f>
        <v>0.83333333333333337</v>
      </c>
    </row>
    <row r="33" spans="2:8" x14ac:dyDescent="0.25">
      <c r="E33" s="14" t="s">
        <v>2</v>
      </c>
      <c r="F33" s="14" t="s">
        <v>3</v>
      </c>
      <c r="G33" s="14" t="s">
        <v>4</v>
      </c>
      <c r="H33" s="15" t="s">
        <v>7</v>
      </c>
    </row>
    <row r="34" spans="2:8" x14ac:dyDescent="0.25">
      <c r="C34" s="6">
        <f>+F10</f>
        <v>43586</v>
      </c>
      <c r="D34" s="7">
        <f>+F11</f>
        <v>259535970.98962763</v>
      </c>
      <c r="E34" s="19">
        <v>0.5</v>
      </c>
      <c r="F34" s="8">
        <v>0.3</v>
      </c>
      <c r="G34" s="8">
        <f>1/(3.5)</f>
        <v>0.2857142857142857</v>
      </c>
      <c r="H34" s="7">
        <f>+D34*E34*F34*G34</f>
        <v>11122970.185269756</v>
      </c>
    </row>
    <row r="35" spans="2:8" x14ac:dyDescent="0.25">
      <c r="H35" s="4"/>
    </row>
    <row r="36" spans="2:8" x14ac:dyDescent="0.25">
      <c r="H36" s="4"/>
    </row>
    <row r="37" spans="2:8" x14ac:dyDescent="0.25">
      <c r="H37" s="4"/>
    </row>
    <row r="38" spans="2:8" x14ac:dyDescent="0.25">
      <c r="H38" s="4"/>
    </row>
    <row r="39" spans="2:8" x14ac:dyDescent="0.25">
      <c r="H39" s="4"/>
    </row>
    <row r="40" spans="2:8" ht="15.75" thickBot="1" x14ac:dyDescent="0.3">
      <c r="H40" s="4"/>
    </row>
    <row r="41" spans="2:8" x14ac:dyDescent="0.25">
      <c r="B41" s="167" t="str">
        <f>+'2018'!B41:B43</f>
        <v>Ingresos publicidad</v>
      </c>
      <c r="H41" s="4"/>
    </row>
    <row r="42" spans="2:8" x14ac:dyDescent="0.25">
      <c r="B42" s="168"/>
      <c r="D42" s="39" t="s">
        <v>51</v>
      </c>
      <c r="E42" s="163" t="s">
        <v>27</v>
      </c>
      <c r="F42" s="163"/>
      <c r="G42" s="163"/>
      <c r="H42" s="15" t="s">
        <v>7</v>
      </c>
    </row>
    <row r="43" spans="2:8" ht="15.75" thickBot="1" x14ac:dyDescent="0.3">
      <c r="B43" s="169"/>
      <c r="D43" s="40">
        <f>+M11</f>
        <v>374396414.34415227</v>
      </c>
      <c r="E43" s="164">
        <f>0.074/1.13597</f>
        <v>6.5142565384649243E-2</v>
      </c>
      <c r="F43" s="164"/>
      <c r="G43" s="164"/>
      <c r="H43" s="7">
        <f>+D43*E43/5</f>
        <v>4877828.5802384336</v>
      </c>
    </row>
    <row r="44" spans="2:8" x14ac:dyDescent="0.25">
      <c r="B44" s="45"/>
      <c r="H44" s="4"/>
    </row>
    <row r="45" spans="2:8" x14ac:dyDescent="0.25">
      <c r="B45" s="45"/>
      <c r="H45" s="4"/>
    </row>
    <row r="46" spans="2:8" ht="15.75" thickBot="1" x14ac:dyDescent="0.3">
      <c r="H46" s="4"/>
    </row>
    <row r="47" spans="2:8" ht="15.75" thickBot="1" x14ac:dyDescent="0.3">
      <c r="B47" s="165" t="s">
        <v>28</v>
      </c>
      <c r="C47" s="166"/>
      <c r="H47" s="105">
        <f>+H34+H43</f>
        <v>16000798.76550819</v>
      </c>
    </row>
    <row r="55" spans="6:12" ht="15.75" thickBot="1" x14ac:dyDescent="0.3"/>
    <row r="56" spans="6:12" ht="15.75" thickBot="1" x14ac:dyDescent="0.3">
      <c r="F56" s="27"/>
      <c r="G56" s="28"/>
      <c r="H56" s="28"/>
      <c r="I56" s="28"/>
      <c r="J56" s="28"/>
      <c r="K56" s="28"/>
      <c r="L56" s="29"/>
    </row>
    <row r="57" spans="6:12" ht="15.75" thickBot="1" x14ac:dyDescent="0.3">
      <c r="F57" s="30"/>
      <c r="G57" s="154" t="s">
        <v>23</v>
      </c>
      <c r="H57" s="155"/>
      <c r="I57" s="155"/>
      <c r="J57" s="156"/>
      <c r="K57" s="3"/>
      <c r="L57" s="31"/>
    </row>
    <row r="58" spans="6:12" x14ac:dyDescent="0.25">
      <c r="F58" s="30"/>
      <c r="G58" s="3" t="s">
        <v>17</v>
      </c>
      <c r="H58" s="3"/>
      <c r="I58" s="3"/>
      <c r="J58" s="3">
        <v>6</v>
      </c>
      <c r="K58" s="3"/>
      <c r="L58" s="31"/>
    </row>
    <row r="59" spans="6:12" x14ac:dyDescent="0.25">
      <c r="F59" s="30"/>
      <c r="G59" s="3" t="s">
        <v>18</v>
      </c>
      <c r="H59" s="3"/>
      <c r="I59" s="3"/>
      <c r="J59" s="3">
        <v>3</v>
      </c>
      <c r="K59" s="3"/>
      <c r="L59" s="31"/>
    </row>
    <row r="60" spans="6:12" x14ac:dyDescent="0.25">
      <c r="F60" s="30"/>
      <c r="G60" s="3" t="s">
        <v>21</v>
      </c>
      <c r="H60" s="3"/>
      <c r="I60" s="3"/>
      <c r="J60" s="3">
        <f>6*3</f>
        <v>18</v>
      </c>
      <c r="K60" s="3"/>
      <c r="L60" s="31"/>
    </row>
    <row r="61" spans="6:12" x14ac:dyDescent="0.25">
      <c r="F61" s="30"/>
      <c r="G61" s="3" t="s">
        <v>22</v>
      </c>
      <c r="H61" s="3"/>
      <c r="I61" s="3"/>
      <c r="J61" s="3">
        <v>8</v>
      </c>
      <c r="K61" s="3"/>
      <c r="L61" s="31"/>
    </row>
    <row r="62" spans="6:12" x14ac:dyDescent="0.25">
      <c r="F62" s="30"/>
      <c r="G62" s="3" t="s">
        <v>19</v>
      </c>
      <c r="H62" s="3"/>
      <c r="I62" s="3"/>
      <c r="J62" s="3">
        <v>31</v>
      </c>
      <c r="K62" s="3"/>
      <c r="L62" s="31"/>
    </row>
    <row r="63" spans="6:12" x14ac:dyDescent="0.25">
      <c r="F63" s="30"/>
      <c r="G63" s="3" t="s">
        <v>16</v>
      </c>
      <c r="H63" s="3"/>
      <c r="I63" s="3"/>
      <c r="J63" s="36">
        <v>0.25</v>
      </c>
      <c r="K63" s="3"/>
      <c r="L63" s="31"/>
    </row>
    <row r="64" spans="6:12" x14ac:dyDescent="0.25">
      <c r="F64" s="30"/>
      <c r="G64" s="3"/>
      <c r="H64" s="3"/>
      <c r="I64" s="3"/>
      <c r="J64" s="3"/>
      <c r="K64" s="3"/>
      <c r="L64" s="31"/>
    </row>
    <row r="65" spans="6:12" x14ac:dyDescent="0.25">
      <c r="F65" s="30"/>
      <c r="G65" s="3" t="s">
        <v>20</v>
      </c>
      <c r="H65" s="3"/>
      <c r="I65" s="3"/>
      <c r="J65" s="32">
        <f>+J58*J59*J60*J61*J62*J63</f>
        <v>20088</v>
      </c>
      <c r="K65" s="3"/>
      <c r="L65" s="31"/>
    </row>
    <row r="66" spans="6:12" x14ac:dyDescent="0.25">
      <c r="F66" s="30"/>
      <c r="G66" s="3"/>
      <c r="H66" s="3"/>
      <c r="I66" s="3"/>
      <c r="J66" s="3"/>
      <c r="K66" s="3"/>
      <c r="L66" s="31"/>
    </row>
    <row r="67" spans="6:12" ht="15.75" thickBot="1" x14ac:dyDescent="0.3">
      <c r="F67" s="30"/>
      <c r="G67" s="3"/>
      <c r="H67" s="3"/>
      <c r="I67" s="3"/>
      <c r="J67" s="3"/>
      <c r="K67" s="3"/>
      <c r="L67" s="31"/>
    </row>
    <row r="68" spans="6:12" ht="15.75" thickBot="1" x14ac:dyDescent="0.3">
      <c r="F68" s="30"/>
      <c r="G68" s="154" t="s">
        <v>25</v>
      </c>
      <c r="H68" s="155"/>
      <c r="I68" s="155"/>
      <c r="J68" s="156"/>
      <c r="K68" s="3"/>
      <c r="L68" s="31"/>
    </row>
    <row r="69" spans="6:12" x14ac:dyDescent="0.25">
      <c r="F69" s="30"/>
      <c r="G69" s="3" t="s">
        <v>17</v>
      </c>
      <c r="H69" s="3"/>
      <c r="I69" s="3"/>
      <c r="J69" s="3">
        <v>6</v>
      </c>
      <c r="K69" s="3"/>
      <c r="L69" s="31"/>
    </row>
    <row r="70" spans="6:12" x14ac:dyDescent="0.25">
      <c r="F70" s="30"/>
      <c r="G70" s="3" t="s">
        <v>18</v>
      </c>
      <c r="H70" s="3"/>
      <c r="I70" s="3"/>
      <c r="J70" s="3">
        <v>3</v>
      </c>
      <c r="K70" s="3"/>
      <c r="L70" s="31"/>
    </row>
    <row r="71" spans="6:12" x14ac:dyDescent="0.25">
      <c r="F71" s="30"/>
      <c r="G71" s="3" t="s">
        <v>21</v>
      </c>
      <c r="H71" s="3"/>
      <c r="I71" s="3"/>
      <c r="J71" s="3">
        <f>6*3</f>
        <v>18</v>
      </c>
      <c r="K71" s="3"/>
      <c r="L71" s="31"/>
    </row>
    <row r="72" spans="6:12" x14ac:dyDescent="0.25">
      <c r="F72" s="30"/>
      <c r="G72" s="3" t="s">
        <v>22</v>
      </c>
      <c r="H72" s="3"/>
      <c r="I72" s="3"/>
      <c r="J72" s="3">
        <v>8</v>
      </c>
      <c r="K72" s="3"/>
      <c r="L72" s="31"/>
    </row>
    <row r="73" spans="6:12" x14ac:dyDescent="0.25">
      <c r="F73" s="30"/>
      <c r="G73" s="3" t="s">
        <v>19</v>
      </c>
      <c r="H73" s="3"/>
      <c r="I73" s="3"/>
      <c r="J73" s="3">
        <v>31</v>
      </c>
      <c r="K73" s="3"/>
      <c r="L73" s="31"/>
    </row>
    <row r="74" spans="6:12" x14ac:dyDescent="0.25">
      <c r="F74" s="30"/>
      <c r="G74" s="3" t="s">
        <v>16</v>
      </c>
      <c r="H74" s="3"/>
      <c r="I74" s="3"/>
      <c r="J74" s="36">
        <v>0.25</v>
      </c>
      <c r="K74" s="3"/>
      <c r="L74" s="31"/>
    </row>
    <row r="75" spans="6:12" x14ac:dyDescent="0.25">
      <c r="F75" s="30"/>
      <c r="G75" s="3"/>
      <c r="H75" s="3"/>
      <c r="I75" s="3"/>
      <c r="J75" s="3"/>
      <c r="K75" s="3"/>
      <c r="L75" s="31"/>
    </row>
    <row r="76" spans="6:12" x14ac:dyDescent="0.25">
      <c r="F76" s="30"/>
      <c r="G76" s="3" t="s">
        <v>20</v>
      </c>
      <c r="H76" s="3"/>
      <c r="I76" s="3"/>
      <c r="J76" s="32">
        <f>+J69*J70*J71*J72*J73*J74</f>
        <v>20088</v>
      </c>
      <c r="K76" s="3"/>
      <c r="L76" s="31"/>
    </row>
    <row r="77" spans="6:12" x14ac:dyDescent="0.25">
      <c r="F77" s="30"/>
      <c r="G77" s="3"/>
      <c r="H77" s="3"/>
      <c r="I77" s="3"/>
      <c r="J77" s="32"/>
      <c r="K77" s="3"/>
      <c r="L77" s="31"/>
    </row>
    <row r="78" spans="6:12" x14ac:dyDescent="0.25">
      <c r="F78" s="30"/>
      <c r="K78" s="3"/>
      <c r="L78" s="31"/>
    </row>
    <row r="79" spans="6:12" x14ac:dyDescent="0.25">
      <c r="F79" s="30"/>
      <c r="G79" s="3" t="s">
        <v>186</v>
      </c>
      <c r="H79" s="3"/>
      <c r="I79" s="3"/>
      <c r="J79" s="32">
        <f>+(J58*J59*J61*J62+J69*J70*J72*J73)*8</f>
        <v>71424</v>
      </c>
      <c r="K79" s="3"/>
      <c r="L79" s="31"/>
    </row>
    <row r="80" spans="6:12" ht="15.75" thickBot="1" x14ac:dyDescent="0.3">
      <c r="F80" s="33"/>
      <c r="G80" s="34"/>
      <c r="H80" s="34"/>
      <c r="I80" s="34"/>
      <c r="J80" s="34"/>
      <c r="K80" s="34"/>
      <c r="L80" s="35"/>
    </row>
  </sheetData>
  <mergeCells count="6">
    <mergeCell ref="G68:J68"/>
    <mergeCell ref="B41:B43"/>
    <mergeCell ref="E42:G42"/>
    <mergeCell ref="E43:G43"/>
    <mergeCell ref="G57:J57"/>
    <mergeCell ref="B47:C47"/>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9" tint="-0.249977111117893"/>
  </sheetPr>
  <dimension ref="E2:M101"/>
  <sheetViews>
    <sheetView zoomScale="71" zoomScaleNormal="71" workbookViewId="0">
      <selection activeCell="M79" sqref="M79"/>
    </sheetView>
  </sheetViews>
  <sheetFormatPr defaultRowHeight="15" x14ac:dyDescent="0.25"/>
  <cols>
    <col min="1" max="4" width="9.140625" style="1"/>
    <col min="5" max="5" width="60.85546875" style="1" bestFit="1" customWidth="1"/>
    <col min="6" max="6" width="14.28515625" style="1" bestFit="1" customWidth="1"/>
    <col min="7" max="7" width="14" style="1" bestFit="1" customWidth="1"/>
    <col min="8" max="8" width="15.7109375" style="1" bestFit="1" customWidth="1"/>
    <col min="9" max="9" width="17.42578125" style="1" bestFit="1" customWidth="1"/>
    <col min="10" max="10" width="18" style="1" bestFit="1" customWidth="1"/>
    <col min="11" max="11" width="14" style="1" customWidth="1"/>
    <col min="12" max="12" width="13.85546875" style="1" bestFit="1" customWidth="1"/>
    <col min="13" max="14" width="9.140625" style="1"/>
    <col min="15" max="15" width="20.5703125" style="1" bestFit="1" customWidth="1"/>
    <col min="16" max="16" width="11" style="1" bestFit="1" customWidth="1"/>
    <col min="17" max="17" width="9.140625" style="1"/>
    <col min="18" max="18" width="15.7109375" style="1" bestFit="1" customWidth="1"/>
    <col min="19" max="19" width="17.28515625" style="1" bestFit="1" customWidth="1"/>
    <col min="20" max="20" width="16.85546875" style="1" bestFit="1" customWidth="1"/>
    <col min="21" max="21" width="17.28515625" style="1" bestFit="1" customWidth="1"/>
    <col min="22" max="22" width="11.140625" style="1" bestFit="1" customWidth="1"/>
    <col min="23" max="16384" width="9.140625" style="1"/>
  </cols>
  <sheetData>
    <row r="2" spans="5:11" x14ac:dyDescent="0.25">
      <c r="E2" s="118" t="s">
        <v>214</v>
      </c>
      <c r="F2" s="107"/>
      <c r="G2" s="107"/>
      <c r="H2" s="107"/>
      <c r="I2" s="107"/>
      <c r="J2" s="107"/>
      <c r="K2" s="108"/>
    </row>
    <row r="3" spans="5:11" ht="15.75" x14ac:dyDescent="0.25">
      <c r="E3" s="109"/>
      <c r="F3" s="3"/>
      <c r="G3" s="69">
        <v>2016</v>
      </c>
      <c r="H3" s="69">
        <v>2017</v>
      </c>
      <c r="I3" s="69">
        <v>2018</v>
      </c>
      <c r="J3" s="69">
        <v>2019</v>
      </c>
      <c r="K3" s="110"/>
    </row>
    <row r="4" spans="5:11" x14ac:dyDescent="0.25">
      <c r="E4" s="109" t="s">
        <v>202</v>
      </c>
      <c r="F4" s="3"/>
      <c r="G4" s="116">
        <f>+G17+G50+G51+G58+G66+G72+G78</f>
        <v>45678.256604892202</v>
      </c>
      <c r="H4" s="116">
        <f>+H17+H50+H51+H58+H66+H72+H78</f>
        <v>40850</v>
      </c>
      <c r="I4" s="116">
        <f>+I17+I50+I51+I58+I66+I72+I78</f>
        <v>40487.5</v>
      </c>
      <c r="J4" s="116">
        <f>+J17+J50+J51+J58+J66+J72+J78</f>
        <v>60125</v>
      </c>
      <c r="K4" s="110"/>
    </row>
    <row r="5" spans="5:11" x14ac:dyDescent="0.25">
      <c r="E5" s="109" t="s">
        <v>201</v>
      </c>
      <c r="F5" s="3"/>
      <c r="G5" s="115">
        <f>+Pasivo!F8+Pasivo!F35+Pasivo!F54+Pasivo!F55+Pasivo!F62+Pasivo!F63+Pasivo!F71</f>
        <v>15102.730185323395</v>
      </c>
      <c r="H5" s="115">
        <f>+Pasivo!G8+Pasivo!G35+Pasivo!G54+Pasivo!G55+Pasivo!G62+Pasivo!G63+Pasivo!G71</f>
        <v>64721.667211903303</v>
      </c>
      <c r="I5" s="115">
        <f>+Pasivo!H8+Pasivo!H35+Pasivo!H54+Pasivo!H55+Pasivo!H62+Pasivo!H63+Pasivo!H71</f>
        <v>1706356.1987307121</v>
      </c>
      <c r="J5" s="115">
        <f>+Pasivo!I8+Pasivo!I35+Pasivo!I54+Pasivo!I55+Pasivo!I62+Pasivo!I63+Pasivo!I71</f>
        <v>14064872.7871994</v>
      </c>
      <c r="K5" s="110"/>
    </row>
    <row r="6" spans="5:11" x14ac:dyDescent="0.25">
      <c r="E6" s="109" t="s">
        <v>207</v>
      </c>
      <c r="F6" s="3"/>
      <c r="G6" s="116">
        <f>+G4-G5</f>
        <v>30575.526419568807</v>
      </c>
      <c r="H6" s="116">
        <f>+H4-H5</f>
        <v>-23871.667211903303</v>
      </c>
      <c r="I6" s="116">
        <f>+I4-I5</f>
        <v>-1665868.6987307121</v>
      </c>
      <c r="J6" s="116">
        <f>+J4-J5</f>
        <v>-14004747.7871994</v>
      </c>
      <c r="K6" s="110"/>
    </row>
    <row r="7" spans="5:11" x14ac:dyDescent="0.25">
      <c r="E7" s="109"/>
      <c r="F7" s="3"/>
      <c r="G7" s="3"/>
      <c r="H7" s="3"/>
      <c r="I7" s="3"/>
      <c r="J7" s="3"/>
      <c r="K7" s="110"/>
    </row>
    <row r="8" spans="5:11" x14ac:dyDescent="0.25">
      <c r="E8" s="109" t="s">
        <v>209</v>
      </c>
      <c r="F8" s="3"/>
      <c r="G8" s="32"/>
      <c r="H8" s="32"/>
      <c r="I8" s="32"/>
      <c r="J8" s="32"/>
      <c r="K8" s="117"/>
    </row>
    <row r="9" spans="5:11" x14ac:dyDescent="0.25">
      <c r="E9" s="109" t="s">
        <v>211</v>
      </c>
      <c r="F9" s="3"/>
      <c r="G9" s="32">
        <f>IF(G6&lt;0,IF(ABS(G6)&lt;(100000),-G6,100000),0)</f>
        <v>0</v>
      </c>
      <c r="H9" s="32">
        <f>IF(H6&lt;0,IF(ABS(H6)&lt;(100000),-H6,100000),0)</f>
        <v>23871.667211903303</v>
      </c>
      <c r="I9" s="32">
        <f>IF(I6&lt;0,IF(ABS(I6)&lt;(100000),-I6,100000),0)</f>
        <v>100000</v>
      </c>
      <c r="J9" s="32">
        <f>IF(J6&lt;0,IF(ABS(J6)&lt;(100000),-J6,100000),0)</f>
        <v>100000</v>
      </c>
      <c r="K9" s="117"/>
    </row>
    <row r="10" spans="5:11" x14ac:dyDescent="0.25">
      <c r="E10" s="109" t="s">
        <v>212</v>
      </c>
      <c r="F10" s="3"/>
      <c r="G10" s="32">
        <f t="shared" ref="G10:I10" si="0">IF(G6&gt;0,0,IF(ABS(G6)&gt;100000,-(G6+G9),0))</f>
        <v>0</v>
      </c>
      <c r="H10" s="32">
        <f t="shared" si="0"/>
        <v>0</v>
      </c>
      <c r="I10" s="32">
        <f t="shared" si="0"/>
        <v>1565868.6987307121</v>
      </c>
      <c r="J10" s="32">
        <f>IF(J6&gt;0,0,IF(ABS(J6)&gt;100000,-(J6+J9),0))</f>
        <v>13904747.7871994</v>
      </c>
      <c r="K10" s="117"/>
    </row>
    <row r="11" spans="5:11" x14ac:dyDescent="0.25">
      <c r="E11" s="50" t="s">
        <v>213</v>
      </c>
      <c r="F11" s="49"/>
      <c r="G11" s="53">
        <f>IF(G6&gt;0,G6,0)</f>
        <v>30575.526419568807</v>
      </c>
      <c r="H11" s="53">
        <f t="shared" ref="H11:J11" si="1">IF(H6&gt;0,H6,0)</f>
        <v>0</v>
      </c>
      <c r="I11" s="53">
        <f t="shared" si="1"/>
        <v>0</v>
      </c>
      <c r="J11" s="53">
        <f t="shared" si="1"/>
        <v>0</v>
      </c>
      <c r="K11" s="111"/>
    </row>
    <row r="13" spans="5:11" x14ac:dyDescent="0.25">
      <c r="E13" s="118" t="s">
        <v>215</v>
      </c>
      <c r="F13" s="107"/>
      <c r="G13" s="119">
        <f>+G83-Pasivo!F73</f>
        <v>0</v>
      </c>
      <c r="H13" s="119">
        <f>+H83-Pasivo!G73</f>
        <v>0</v>
      </c>
      <c r="I13" s="119">
        <f>+I83-Pasivo!H73</f>
        <v>0</v>
      </c>
      <c r="J13" s="119">
        <f>+J83-Pasivo!I73</f>
        <v>0</v>
      </c>
      <c r="K13" s="108"/>
    </row>
    <row r="14" spans="5:11" x14ac:dyDescent="0.25">
      <c r="E14" s="50"/>
      <c r="F14" s="49"/>
      <c r="G14" s="120" t="str">
        <f>IF(ROUND(G13,0)=0,"OK","NO OK")</f>
        <v>OK</v>
      </c>
      <c r="H14" s="120" t="str">
        <f t="shared" ref="H14:J14" si="2">IF(ROUND(H13,0)=0,"OK","NO OK")</f>
        <v>OK</v>
      </c>
      <c r="I14" s="120" t="str">
        <f t="shared" si="2"/>
        <v>OK</v>
      </c>
      <c r="J14" s="120" t="str">
        <f t="shared" si="2"/>
        <v>OK</v>
      </c>
      <c r="K14" s="111"/>
    </row>
    <row r="16" spans="5:11" ht="15.75" x14ac:dyDescent="0.25">
      <c r="E16" s="67" t="s">
        <v>56</v>
      </c>
      <c r="F16" s="68" t="s">
        <v>57</v>
      </c>
      <c r="G16" s="69">
        <v>2016</v>
      </c>
      <c r="H16" s="69">
        <v>2017</v>
      </c>
      <c r="I16" s="69">
        <v>2018</v>
      </c>
      <c r="J16" s="69">
        <v>2019</v>
      </c>
      <c r="K16" s="84" t="s">
        <v>58</v>
      </c>
    </row>
    <row r="17" spans="5:11" ht="15.75" x14ac:dyDescent="0.25">
      <c r="E17" s="71" t="s">
        <v>200</v>
      </c>
      <c r="F17" s="72"/>
      <c r="G17" s="73">
        <f>G19+G27+G31+G34+G40+G46</f>
        <v>45678.256604892202</v>
      </c>
      <c r="H17" s="73">
        <f>H19+H27+H31+H34+H40+H46</f>
        <v>40850</v>
      </c>
      <c r="I17" s="73">
        <f>I19+I27+I31+I34+I40+I46</f>
        <v>40487.5</v>
      </c>
      <c r="J17" s="73">
        <f>J19+J27+J31+J34+J40+J46</f>
        <v>60125</v>
      </c>
      <c r="K17" s="74">
        <f>+(ABS(G17))+ABS(H17)+ABS(I17)+ABS(J17)</f>
        <v>187140.7566048922</v>
      </c>
    </row>
    <row r="18" spans="5:11" hidden="1" x14ac:dyDescent="0.25">
      <c r="E18" s="75"/>
      <c r="F18" s="76"/>
      <c r="G18" s="77"/>
      <c r="H18" s="77"/>
      <c r="I18" s="77"/>
      <c r="J18" s="77"/>
      <c r="K18" s="74">
        <f t="shared" ref="K18:K81" si="3">+(ABS(G18))+ABS(H18)+ABS(I18)+ABS(J18)</f>
        <v>0</v>
      </c>
    </row>
    <row r="19" spans="5:11" x14ac:dyDescent="0.25">
      <c r="E19" s="78" t="s">
        <v>197</v>
      </c>
      <c r="F19" s="79"/>
      <c r="G19" s="80">
        <f>+G22+G23+G24+G25+G26+G20+G21</f>
        <v>40000</v>
      </c>
      <c r="H19" s="80">
        <f>+H22+H23+H24+H25+H26+H20+H21</f>
        <v>40000</v>
      </c>
      <c r="I19" s="80">
        <f>+I22+I23+I24+I25+I26+I20+I21</f>
        <v>40000</v>
      </c>
      <c r="J19" s="80">
        <f>+J22+J23+J24+J25+J26+J20+J21</f>
        <v>60000</v>
      </c>
      <c r="K19" s="74">
        <f t="shared" si="3"/>
        <v>180000</v>
      </c>
    </row>
    <row r="20" spans="5:11" hidden="1" x14ac:dyDescent="0.25">
      <c r="E20" s="81" t="s">
        <v>59</v>
      </c>
      <c r="F20" s="76"/>
      <c r="G20" s="77">
        <v>0</v>
      </c>
      <c r="H20" s="77">
        <v>0</v>
      </c>
      <c r="I20" s="77">
        <v>0</v>
      </c>
      <c r="J20" s="77">
        <v>0</v>
      </c>
      <c r="K20" s="74">
        <f t="shared" si="3"/>
        <v>0</v>
      </c>
    </row>
    <row r="21" spans="5:11" hidden="1" x14ac:dyDescent="0.25">
      <c r="E21" s="81" t="s">
        <v>60</v>
      </c>
      <c r="F21" s="76"/>
      <c r="G21" s="77">
        <v>0</v>
      </c>
      <c r="H21" s="77">
        <v>0</v>
      </c>
      <c r="I21" s="77">
        <v>0</v>
      </c>
      <c r="J21" s="77">
        <v>0</v>
      </c>
      <c r="K21" s="74">
        <f t="shared" si="3"/>
        <v>0</v>
      </c>
    </row>
    <row r="22" spans="5:11" x14ac:dyDescent="0.25">
      <c r="E22" s="81" t="s">
        <v>196</v>
      </c>
      <c r="F22" s="82"/>
      <c r="G22" s="77">
        <f>+I101</f>
        <v>40000</v>
      </c>
      <c r="H22" s="77">
        <f>+J101</f>
        <v>40000</v>
      </c>
      <c r="I22" s="77">
        <f>+K101</f>
        <v>40000</v>
      </c>
      <c r="J22" s="77">
        <f>+L101</f>
        <v>60000</v>
      </c>
      <c r="K22" s="74">
        <f t="shared" si="3"/>
        <v>180000</v>
      </c>
    </row>
    <row r="23" spans="5:11" hidden="1" x14ac:dyDescent="0.25">
      <c r="E23" s="81" t="s">
        <v>61</v>
      </c>
      <c r="F23" s="76"/>
      <c r="G23" s="77">
        <v>0</v>
      </c>
      <c r="H23" s="77">
        <v>0</v>
      </c>
      <c r="I23" s="77">
        <v>0</v>
      </c>
      <c r="J23" s="77">
        <v>0</v>
      </c>
      <c r="K23" s="74">
        <f t="shared" si="3"/>
        <v>0</v>
      </c>
    </row>
    <row r="24" spans="5:11" hidden="1" x14ac:dyDescent="0.25">
      <c r="E24" s="81" t="s">
        <v>62</v>
      </c>
      <c r="F24" s="82"/>
      <c r="G24" s="77">
        <v>0</v>
      </c>
      <c r="H24" s="77">
        <v>0</v>
      </c>
      <c r="I24" s="77">
        <v>0</v>
      </c>
      <c r="J24" s="77">
        <v>0</v>
      </c>
      <c r="K24" s="74">
        <f t="shared" si="3"/>
        <v>0</v>
      </c>
    </row>
    <row r="25" spans="5:11" hidden="1" x14ac:dyDescent="0.25">
      <c r="E25" s="81" t="s">
        <v>63</v>
      </c>
      <c r="F25" s="76"/>
      <c r="G25" s="77">
        <v>0</v>
      </c>
      <c r="H25" s="77">
        <v>0</v>
      </c>
      <c r="I25" s="77">
        <v>0</v>
      </c>
      <c r="J25" s="77">
        <v>0</v>
      </c>
      <c r="K25" s="74">
        <f t="shared" si="3"/>
        <v>0</v>
      </c>
    </row>
    <row r="26" spans="5:11" hidden="1" x14ac:dyDescent="0.25">
      <c r="E26" s="81" t="s">
        <v>64</v>
      </c>
      <c r="F26" s="76"/>
      <c r="G26" s="77">
        <v>0</v>
      </c>
      <c r="H26" s="77">
        <v>0</v>
      </c>
      <c r="I26" s="77">
        <v>0</v>
      </c>
      <c r="J26" s="77">
        <v>0</v>
      </c>
      <c r="K26" s="74">
        <f t="shared" si="3"/>
        <v>0</v>
      </c>
    </row>
    <row r="27" spans="5:11" x14ac:dyDescent="0.25">
      <c r="E27" s="78" t="s">
        <v>65</v>
      </c>
      <c r="F27" s="79"/>
      <c r="G27" s="80">
        <f>+G28+G29+G30</f>
        <v>712.5</v>
      </c>
      <c r="H27" s="80">
        <f>+H28+H29+H30</f>
        <v>850</v>
      </c>
      <c r="I27" s="80">
        <f>+I28+I29+I30</f>
        <v>487.5</v>
      </c>
      <c r="J27" s="80">
        <f>+J28+J29+J30</f>
        <v>125</v>
      </c>
      <c r="K27" s="74">
        <f t="shared" si="3"/>
        <v>2175</v>
      </c>
    </row>
    <row r="28" spans="5:11" hidden="1" x14ac:dyDescent="0.25">
      <c r="E28" s="81" t="s">
        <v>66</v>
      </c>
      <c r="F28" s="76"/>
      <c r="G28" s="77">
        <v>0</v>
      </c>
      <c r="H28" s="77">
        <v>0</v>
      </c>
      <c r="I28" s="77">
        <v>0</v>
      </c>
      <c r="J28" s="77">
        <v>0</v>
      </c>
      <c r="K28" s="74">
        <f t="shared" si="3"/>
        <v>0</v>
      </c>
    </row>
    <row r="29" spans="5:11" x14ac:dyDescent="0.25">
      <c r="E29" s="81" t="s">
        <v>195</v>
      </c>
      <c r="F29" s="76"/>
      <c r="G29" s="77">
        <f>+I93</f>
        <v>712.5</v>
      </c>
      <c r="H29" s="77">
        <f>+J93</f>
        <v>850</v>
      </c>
      <c r="I29" s="77">
        <f>+K93</f>
        <v>487.5</v>
      </c>
      <c r="J29" s="77">
        <f>+L93</f>
        <v>125</v>
      </c>
      <c r="K29" s="74">
        <f t="shared" si="3"/>
        <v>2175</v>
      </c>
    </row>
    <row r="30" spans="5:11" hidden="1" x14ac:dyDescent="0.25">
      <c r="E30" s="81" t="s">
        <v>67</v>
      </c>
      <c r="F30" s="76"/>
      <c r="G30" s="77">
        <v>0</v>
      </c>
      <c r="H30" s="77">
        <v>0</v>
      </c>
      <c r="I30" s="77">
        <v>0</v>
      </c>
      <c r="J30" s="77">
        <v>0</v>
      </c>
      <c r="K30" s="74">
        <f t="shared" si="3"/>
        <v>0</v>
      </c>
    </row>
    <row r="31" spans="5:11" hidden="1" x14ac:dyDescent="0.25">
      <c r="E31" s="78" t="s">
        <v>68</v>
      </c>
      <c r="F31" s="79"/>
      <c r="G31" s="80">
        <f>+G32+G33</f>
        <v>0</v>
      </c>
      <c r="H31" s="80">
        <f>+H32+H33</f>
        <v>0</v>
      </c>
      <c r="I31" s="80">
        <f>+I32+I33</f>
        <v>0</v>
      </c>
      <c r="J31" s="80">
        <f>+J32+J33</f>
        <v>0</v>
      </c>
      <c r="K31" s="74">
        <f t="shared" si="3"/>
        <v>0</v>
      </c>
    </row>
    <row r="32" spans="5:11" hidden="1" x14ac:dyDescent="0.25">
      <c r="E32" s="81" t="s">
        <v>69</v>
      </c>
      <c r="F32" s="76"/>
      <c r="G32" s="77">
        <v>0</v>
      </c>
      <c r="H32" s="77">
        <v>0</v>
      </c>
      <c r="I32" s="77">
        <v>0</v>
      </c>
      <c r="J32" s="77">
        <v>0</v>
      </c>
      <c r="K32" s="74">
        <f t="shared" si="3"/>
        <v>0</v>
      </c>
    </row>
    <row r="33" spans="5:11" hidden="1" x14ac:dyDescent="0.25">
      <c r="E33" s="81" t="s">
        <v>70</v>
      </c>
      <c r="F33" s="76"/>
      <c r="G33" s="77">
        <v>0</v>
      </c>
      <c r="H33" s="77">
        <v>0</v>
      </c>
      <c r="I33" s="77">
        <v>0</v>
      </c>
      <c r="J33" s="77">
        <v>0</v>
      </c>
      <c r="K33" s="74">
        <f t="shared" si="3"/>
        <v>0</v>
      </c>
    </row>
    <row r="34" spans="5:11" hidden="1" x14ac:dyDescent="0.25">
      <c r="E34" s="78" t="s">
        <v>71</v>
      </c>
      <c r="F34" s="79"/>
      <c r="G34" s="80">
        <f>+G35+G36+G37+G38+G39</f>
        <v>0</v>
      </c>
      <c r="H34" s="80">
        <f>+H35+H36+H37+H38+H39</f>
        <v>0</v>
      </c>
      <c r="I34" s="80">
        <f>+I35+I36+I37+I38+I39</f>
        <v>0</v>
      </c>
      <c r="J34" s="80">
        <f>+J35+J36+J37+J38+J39</f>
        <v>0</v>
      </c>
      <c r="K34" s="74">
        <f t="shared" si="3"/>
        <v>0</v>
      </c>
    </row>
    <row r="35" spans="5:11" hidden="1" x14ac:dyDescent="0.25">
      <c r="E35" s="81" t="s">
        <v>72</v>
      </c>
      <c r="F35" s="76"/>
      <c r="G35" s="77">
        <v>0</v>
      </c>
      <c r="H35" s="77">
        <v>0</v>
      </c>
      <c r="I35" s="77">
        <v>0</v>
      </c>
      <c r="J35" s="77">
        <v>0</v>
      </c>
      <c r="K35" s="74">
        <f t="shared" si="3"/>
        <v>0</v>
      </c>
    </row>
    <row r="36" spans="5:11" hidden="1" x14ac:dyDescent="0.25">
      <c r="E36" s="81" t="s">
        <v>73</v>
      </c>
      <c r="F36" s="76"/>
      <c r="G36" s="77">
        <v>0</v>
      </c>
      <c r="H36" s="77">
        <v>0</v>
      </c>
      <c r="I36" s="77">
        <v>0</v>
      </c>
      <c r="J36" s="77">
        <v>0</v>
      </c>
      <c r="K36" s="74">
        <f t="shared" si="3"/>
        <v>0</v>
      </c>
    </row>
    <row r="37" spans="5:11" hidden="1" x14ac:dyDescent="0.25">
      <c r="E37" s="81" t="s">
        <v>74</v>
      </c>
      <c r="F37" s="76"/>
      <c r="G37" s="77">
        <v>0</v>
      </c>
      <c r="H37" s="77">
        <v>0</v>
      </c>
      <c r="I37" s="77">
        <v>0</v>
      </c>
      <c r="J37" s="77">
        <v>0</v>
      </c>
      <c r="K37" s="74">
        <f t="shared" si="3"/>
        <v>0</v>
      </c>
    </row>
    <row r="38" spans="5:11" hidden="1" x14ac:dyDescent="0.25">
      <c r="E38" s="81" t="s">
        <v>75</v>
      </c>
      <c r="F38" s="76"/>
      <c r="G38" s="77">
        <v>0</v>
      </c>
      <c r="H38" s="77">
        <v>0</v>
      </c>
      <c r="I38" s="77">
        <v>0</v>
      </c>
      <c r="J38" s="77">
        <v>0</v>
      </c>
      <c r="K38" s="74">
        <f t="shared" si="3"/>
        <v>0</v>
      </c>
    </row>
    <row r="39" spans="5:11" hidden="1" x14ac:dyDescent="0.25">
      <c r="E39" s="81" t="s">
        <v>76</v>
      </c>
      <c r="F39" s="76"/>
      <c r="G39" s="77">
        <v>0</v>
      </c>
      <c r="H39" s="77">
        <v>0</v>
      </c>
      <c r="I39" s="77">
        <v>0</v>
      </c>
      <c r="J39" s="77">
        <v>0</v>
      </c>
      <c r="K39" s="74">
        <f t="shared" si="3"/>
        <v>0</v>
      </c>
    </row>
    <row r="40" spans="5:11" hidden="1" x14ac:dyDescent="0.25">
      <c r="E40" s="78" t="s">
        <v>77</v>
      </c>
      <c r="F40" s="79"/>
      <c r="G40" s="80">
        <f>+G41+G42+G43+G44+G45</f>
        <v>0</v>
      </c>
      <c r="H40" s="80">
        <f>+H41+H42+H43+H44+H45</f>
        <v>0</v>
      </c>
      <c r="I40" s="80">
        <f>+I41+I42+I43+I44+I45</f>
        <v>0</v>
      </c>
      <c r="J40" s="80">
        <f>+J41+J42+J43+J44+J45</f>
        <v>0</v>
      </c>
      <c r="K40" s="74">
        <f t="shared" si="3"/>
        <v>0</v>
      </c>
    </row>
    <row r="41" spans="5:11" hidden="1" x14ac:dyDescent="0.25">
      <c r="E41" s="81" t="s">
        <v>72</v>
      </c>
      <c r="F41" s="76"/>
      <c r="G41" s="77">
        <v>0</v>
      </c>
      <c r="H41" s="77">
        <v>0</v>
      </c>
      <c r="I41" s="77">
        <v>0</v>
      </c>
      <c r="J41" s="77">
        <v>0</v>
      </c>
      <c r="K41" s="74">
        <f t="shared" si="3"/>
        <v>0</v>
      </c>
    </row>
    <row r="42" spans="5:11" hidden="1" x14ac:dyDescent="0.25">
      <c r="E42" s="81" t="s">
        <v>78</v>
      </c>
      <c r="F42" s="76"/>
      <c r="G42" s="77">
        <v>0</v>
      </c>
      <c r="H42" s="77">
        <v>0</v>
      </c>
      <c r="I42" s="77">
        <v>0</v>
      </c>
      <c r="J42" s="77">
        <v>0</v>
      </c>
      <c r="K42" s="74">
        <f t="shared" si="3"/>
        <v>0</v>
      </c>
    </row>
    <row r="43" spans="5:11" hidden="1" x14ac:dyDescent="0.25">
      <c r="E43" s="81" t="s">
        <v>74</v>
      </c>
      <c r="F43" s="76"/>
      <c r="G43" s="77">
        <v>0</v>
      </c>
      <c r="H43" s="77">
        <v>0</v>
      </c>
      <c r="I43" s="77">
        <v>0</v>
      </c>
      <c r="J43" s="77">
        <v>0</v>
      </c>
      <c r="K43" s="74">
        <f t="shared" si="3"/>
        <v>0</v>
      </c>
    </row>
    <row r="44" spans="5:11" hidden="1" x14ac:dyDescent="0.25">
      <c r="E44" s="81" t="s">
        <v>75</v>
      </c>
      <c r="F44" s="76"/>
      <c r="G44" s="77">
        <v>0</v>
      </c>
      <c r="H44" s="77">
        <v>0</v>
      </c>
      <c r="I44" s="77">
        <v>0</v>
      </c>
      <c r="J44" s="77">
        <v>0</v>
      </c>
      <c r="K44" s="74">
        <f t="shared" si="3"/>
        <v>0</v>
      </c>
    </row>
    <row r="45" spans="5:11" hidden="1" x14ac:dyDescent="0.25">
      <c r="E45" s="81" t="s">
        <v>76</v>
      </c>
      <c r="F45" s="76"/>
      <c r="G45" s="77">
        <v>0</v>
      </c>
      <c r="H45" s="77">
        <v>0</v>
      </c>
      <c r="I45" s="77">
        <v>0</v>
      </c>
      <c r="J45" s="77">
        <v>0</v>
      </c>
      <c r="K45" s="74">
        <f t="shared" si="3"/>
        <v>0</v>
      </c>
    </row>
    <row r="46" spans="5:11" x14ac:dyDescent="0.25">
      <c r="E46" s="78" t="s">
        <v>198</v>
      </c>
      <c r="F46" s="79"/>
      <c r="G46" s="80">
        <f>IF(PyG!E32&gt;0,PyG!E32,0)</f>
        <v>4965.7566048922017</v>
      </c>
      <c r="H46" s="80">
        <f>IF((G46+PyG!F32)&gt;0,G46+PyG!F32,0)</f>
        <v>0</v>
      </c>
      <c r="I46" s="80">
        <f>IF((H46+PyG!G32)&gt;0,H46+PyG!G32,0)</f>
        <v>0</v>
      </c>
      <c r="J46" s="80">
        <f>IF((I46+PyG!H32)&gt;0,I46+PyG!H32,0)</f>
        <v>0</v>
      </c>
      <c r="K46" s="74">
        <f t="shared" si="3"/>
        <v>4965.7566048922017</v>
      </c>
    </row>
    <row r="47" spans="5:11" hidden="1" x14ac:dyDescent="0.25">
      <c r="E47" s="75"/>
      <c r="F47" s="76"/>
      <c r="G47" s="77"/>
      <c r="H47" s="77"/>
      <c r="I47" s="77"/>
      <c r="J47" s="77"/>
      <c r="K47" s="74">
        <f t="shared" si="3"/>
        <v>0</v>
      </c>
    </row>
    <row r="48" spans="5:11" ht="15.75" x14ac:dyDescent="0.25">
      <c r="E48" s="71" t="s">
        <v>199</v>
      </c>
      <c r="F48" s="72"/>
      <c r="G48" s="73">
        <f>G63+G79</f>
        <v>0</v>
      </c>
      <c r="H48" s="73">
        <f>H63+H79</f>
        <v>23871.667211903303</v>
      </c>
      <c r="I48" s="73">
        <f>I63+I79</f>
        <v>1665868.6987307121</v>
      </c>
      <c r="J48" s="73">
        <f>J63+J79</f>
        <v>14004747.7871994</v>
      </c>
      <c r="K48" s="74">
        <f t="shared" si="3"/>
        <v>15694488.153142016</v>
      </c>
    </row>
    <row r="49" spans="5:11" hidden="1" x14ac:dyDescent="0.25">
      <c r="E49" s="75"/>
      <c r="F49" s="76"/>
      <c r="G49" s="77"/>
      <c r="H49" s="77"/>
      <c r="I49" s="77"/>
      <c r="J49" s="77"/>
      <c r="K49" s="74">
        <f t="shared" si="3"/>
        <v>0</v>
      </c>
    </row>
    <row r="50" spans="5:11" hidden="1" x14ac:dyDescent="0.25">
      <c r="E50" s="78" t="s">
        <v>79</v>
      </c>
      <c r="F50" s="79"/>
      <c r="G50" s="80">
        <v>0</v>
      </c>
      <c r="H50" s="80">
        <v>0</v>
      </c>
      <c r="I50" s="80">
        <v>0</v>
      </c>
      <c r="J50" s="80">
        <v>0</v>
      </c>
      <c r="K50" s="74">
        <f t="shared" si="3"/>
        <v>0</v>
      </c>
    </row>
    <row r="51" spans="5:11" hidden="1" x14ac:dyDescent="0.25">
      <c r="E51" s="78" t="s">
        <v>80</v>
      </c>
      <c r="F51" s="79"/>
      <c r="G51" s="80">
        <f>+G52+G53+G55+G56+G57+G54</f>
        <v>0</v>
      </c>
      <c r="H51" s="80">
        <f>+H52+H53+H55+H56+H57+H54</f>
        <v>0</v>
      </c>
      <c r="I51" s="80">
        <f>+I52+I53+I55+I56+I57+I54</f>
        <v>0</v>
      </c>
      <c r="J51" s="80">
        <f>+J52+J53+J55+J56+J57+J54</f>
        <v>0</v>
      </c>
      <c r="K51" s="74">
        <f t="shared" si="3"/>
        <v>0</v>
      </c>
    </row>
    <row r="52" spans="5:11" hidden="1" x14ac:dyDescent="0.25">
      <c r="E52" s="81" t="s">
        <v>81</v>
      </c>
      <c r="F52" s="76"/>
      <c r="G52" s="77">
        <v>0</v>
      </c>
      <c r="H52" s="77">
        <v>0</v>
      </c>
      <c r="I52" s="77">
        <v>0</v>
      </c>
      <c r="J52" s="77">
        <v>0</v>
      </c>
      <c r="K52" s="74">
        <f t="shared" si="3"/>
        <v>0</v>
      </c>
    </row>
    <row r="53" spans="5:11" hidden="1" x14ac:dyDescent="0.25">
      <c r="E53" s="81" t="s">
        <v>82</v>
      </c>
      <c r="F53" s="76"/>
      <c r="G53" s="77">
        <v>0</v>
      </c>
      <c r="H53" s="77">
        <v>0</v>
      </c>
      <c r="I53" s="77">
        <v>0</v>
      </c>
      <c r="J53" s="77">
        <v>0</v>
      </c>
      <c r="K53" s="74">
        <f t="shared" si="3"/>
        <v>0</v>
      </c>
    </row>
    <row r="54" spans="5:11" hidden="1" x14ac:dyDescent="0.25">
      <c r="E54" s="81" t="s">
        <v>83</v>
      </c>
      <c r="F54" s="76"/>
      <c r="G54" s="77">
        <v>0</v>
      </c>
      <c r="H54" s="77">
        <v>0</v>
      </c>
      <c r="I54" s="77">
        <v>0</v>
      </c>
      <c r="J54" s="77">
        <v>0</v>
      </c>
      <c r="K54" s="74">
        <f t="shared" si="3"/>
        <v>0</v>
      </c>
    </row>
    <row r="55" spans="5:11" hidden="1" x14ac:dyDescent="0.25">
      <c r="E55" s="81" t="s">
        <v>84</v>
      </c>
      <c r="F55" s="76"/>
      <c r="G55" s="77">
        <v>0</v>
      </c>
      <c r="H55" s="77">
        <v>0</v>
      </c>
      <c r="I55" s="77">
        <v>0</v>
      </c>
      <c r="J55" s="77">
        <v>0</v>
      </c>
      <c r="K55" s="74">
        <f t="shared" si="3"/>
        <v>0</v>
      </c>
    </row>
    <row r="56" spans="5:11" hidden="1" x14ac:dyDescent="0.25">
      <c r="E56" s="81" t="s">
        <v>85</v>
      </c>
      <c r="F56" s="76"/>
      <c r="G56" s="77">
        <v>0</v>
      </c>
      <c r="H56" s="77">
        <v>0</v>
      </c>
      <c r="I56" s="77">
        <v>0</v>
      </c>
      <c r="J56" s="77">
        <v>0</v>
      </c>
      <c r="K56" s="74">
        <f t="shared" si="3"/>
        <v>0</v>
      </c>
    </row>
    <row r="57" spans="5:11" hidden="1" x14ac:dyDescent="0.25">
      <c r="E57" s="81" t="s">
        <v>86</v>
      </c>
      <c r="F57" s="76"/>
      <c r="G57" s="77">
        <v>0</v>
      </c>
      <c r="H57" s="77">
        <v>0</v>
      </c>
      <c r="I57" s="77">
        <v>0</v>
      </c>
      <c r="J57" s="77">
        <v>0</v>
      </c>
      <c r="K57" s="74">
        <f t="shared" si="3"/>
        <v>0</v>
      </c>
    </row>
    <row r="58" spans="5:11" hidden="1" x14ac:dyDescent="0.25">
      <c r="E58" s="78" t="s">
        <v>87</v>
      </c>
      <c r="F58" s="79"/>
      <c r="G58" s="80">
        <f>+G59+G60+G61+G62+G63+G64+G65</f>
        <v>0</v>
      </c>
      <c r="H58" s="80">
        <f>+H59+H60+H61+H62+H63+H64+H65</f>
        <v>0</v>
      </c>
      <c r="I58" s="80">
        <f>+I59+I60+I61+I62+I63+I64+I65</f>
        <v>0</v>
      </c>
      <c r="J58" s="80">
        <f>+J59+J60+J61+J62+J63+J64+J65</f>
        <v>0</v>
      </c>
      <c r="K58" s="74">
        <f t="shared" si="3"/>
        <v>0</v>
      </c>
    </row>
    <row r="59" spans="5:11" hidden="1" x14ac:dyDescent="0.25">
      <c r="E59" s="81" t="s">
        <v>88</v>
      </c>
      <c r="F59" s="76"/>
      <c r="G59" s="77">
        <v>0</v>
      </c>
      <c r="H59" s="77">
        <v>0</v>
      </c>
      <c r="I59" s="77">
        <v>0</v>
      </c>
      <c r="J59" s="77">
        <v>0</v>
      </c>
      <c r="K59" s="74">
        <f t="shared" si="3"/>
        <v>0</v>
      </c>
    </row>
    <row r="60" spans="5:11" hidden="1" x14ac:dyDescent="0.25">
      <c r="E60" s="81" t="s">
        <v>89</v>
      </c>
      <c r="F60" s="76"/>
      <c r="G60" s="77">
        <v>0</v>
      </c>
      <c r="H60" s="77">
        <v>0</v>
      </c>
      <c r="I60" s="77">
        <v>0</v>
      </c>
      <c r="J60" s="77">
        <v>0</v>
      </c>
      <c r="K60" s="74">
        <f t="shared" si="3"/>
        <v>0</v>
      </c>
    </row>
    <row r="61" spans="5:11" hidden="1" x14ac:dyDescent="0.25">
      <c r="E61" s="81" t="s">
        <v>90</v>
      </c>
      <c r="F61" s="76"/>
      <c r="G61" s="77">
        <v>0</v>
      </c>
      <c r="H61" s="77">
        <v>0</v>
      </c>
      <c r="I61" s="77">
        <v>0</v>
      </c>
      <c r="J61" s="77">
        <v>0</v>
      </c>
      <c r="K61" s="74">
        <f t="shared" si="3"/>
        <v>0</v>
      </c>
    </row>
    <row r="62" spans="5:11" hidden="1" x14ac:dyDescent="0.25">
      <c r="E62" s="81" t="s">
        <v>91</v>
      </c>
      <c r="F62" s="76"/>
      <c r="G62" s="77">
        <v>0</v>
      </c>
      <c r="H62" s="77">
        <v>0</v>
      </c>
      <c r="I62" s="77">
        <v>0</v>
      </c>
      <c r="J62" s="77">
        <v>0</v>
      </c>
      <c r="K62" s="74">
        <f t="shared" si="3"/>
        <v>0</v>
      </c>
    </row>
    <row r="63" spans="5:11" hidden="1" x14ac:dyDescent="0.25">
      <c r="E63" s="81" t="s">
        <v>92</v>
      </c>
      <c r="F63" s="76"/>
      <c r="G63" s="77">
        <v>0</v>
      </c>
      <c r="H63" s="77">
        <v>0</v>
      </c>
      <c r="I63" s="77">
        <v>0</v>
      </c>
      <c r="J63" s="77">
        <v>0</v>
      </c>
      <c r="K63" s="74">
        <f t="shared" si="3"/>
        <v>0</v>
      </c>
    </row>
    <row r="64" spans="5:11" hidden="1" x14ac:dyDescent="0.25">
      <c r="E64" s="81" t="s">
        <v>93</v>
      </c>
      <c r="F64" s="76"/>
      <c r="G64" s="77">
        <v>0</v>
      </c>
      <c r="H64" s="77">
        <v>0</v>
      </c>
      <c r="I64" s="77">
        <v>0</v>
      </c>
      <c r="J64" s="77">
        <v>0</v>
      </c>
      <c r="K64" s="74">
        <f t="shared" si="3"/>
        <v>0</v>
      </c>
    </row>
    <row r="65" spans="5:11" hidden="1" x14ac:dyDescent="0.25">
      <c r="E65" s="81" t="s">
        <v>94</v>
      </c>
      <c r="F65" s="76"/>
      <c r="G65" s="77">
        <v>0</v>
      </c>
      <c r="H65" s="77">
        <v>0</v>
      </c>
      <c r="I65" s="77">
        <v>0</v>
      </c>
      <c r="J65" s="77">
        <v>0</v>
      </c>
      <c r="K65" s="74">
        <f t="shared" si="3"/>
        <v>0</v>
      </c>
    </row>
    <row r="66" spans="5:11" hidden="1" x14ac:dyDescent="0.25">
      <c r="E66" s="78" t="s">
        <v>95</v>
      </c>
      <c r="F66" s="79"/>
      <c r="G66" s="80">
        <f>+G67+G68+G69+G70+G71</f>
        <v>0</v>
      </c>
      <c r="H66" s="80">
        <f>+H67+H68+H69+H70+H71</f>
        <v>0</v>
      </c>
      <c r="I66" s="80">
        <f>+I67+I68+I69+I70+I71</f>
        <v>0</v>
      </c>
      <c r="J66" s="80">
        <f>+J67+J68+J69+J70+J71</f>
        <v>0</v>
      </c>
      <c r="K66" s="74">
        <f t="shared" si="3"/>
        <v>0</v>
      </c>
    </row>
    <row r="67" spans="5:11" hidden="1" x14ac:dyDescent="0.25">
      <c r="E67" s="81" t="s">
        <v>72</v>
      </c>
      <c r="F67" s="76"/>
      <c r="G67" s="77">
        <v>0</v>
      </c>
      <c r="H67" s="77">
        <v>0</v>
      </c>
      <c r="I67" s="77">
        <v>0</v>
      </c>
      <c r="J67" s="77">
        <v>0</v>
      </c>
      <c r="K67" s="74">
        <f t="shared" si="3"/>
        <v>0</v>
      </c>
    </row>
    <row r="68" spans="5:11" hidden="1" x14ac:dyDescent="0.25">
      <c r="E68" s="81" t="s">
        <v>73</v>
      </c>
      <c r="F68" s="76"/>
      <c r="G68" s="77">
        <v>0</v>
      </c>
      <c r="H68" s="77">
        <v>0</v>
      </c>
      <c r="I68" s="77">
        <v>0</v>
      </c>
      <c r="J68" s="77">
        <v>0</v>
      </c>
      <c r="K68" s="74">
        <f t="shared" si="3"/>
        <v>0</v>
      </c>
    </row>
    <row r="69" spans="5:11" hidden="1" x14ac:dyDescent="0.25">
      <c r="E69" s="81" t="s">
        <v>74</v>
      </c>
      <c r="F69" s="76"/>
      <c r="G69" s="77">
        <v>0</v>
      </c>
      <c r="H69" s="77">
        <v>0</v>
      </c>
      <c r="I69" s="77">
        <v>0</v>
      </c>
      <c r="J69" s="77">
        <v>0</v>
      </c>
      <c r="K69" s="74">
        <f t="shared" si="3"/>
        <v>0</v>
      </c>
    </row>
    <row r="70" spans="5:11" hidden="1" x14ac:dyDescent="0.25">
      <c r="E70" s="81" t="s">
        <v>75</v>
      </c>
      <c r="F70" s="76"/>
      <c r="G70" s="77">
        <v>0</v>
      </c>
      <c r="H70" s="77">
        <v>0</v>
      </c>
      <c r="I70" s="77">
        <v>0</v>
      </c>
      <c r="J70" s="77">
        <v>0</v>
      </c>
      <c r="K70" s="74">
        <f t="shared" si="3"/>
        <v>0</v>
      </c>
    </row>
    <row r="71" spans="5:11" hidden="1" x14ac:dyDescent="0.25">
      <c r="E71" s="81" t="s">
        <v>76</v>
      </c>
      <c r="F71" s="76"/>
      <c r="G71" s="77">
        <v>0</v>
      </c>
      <c r="H71" s="77">
        <v>0</v>
      </c>
      <c r="I71" s="77">
        <v>0</v>
      </c>
      <c r="J71" s="77">
        <v>0</v>
      </c>
      <c r="K71" s="74">
        <f t="shared" si="3"/>
        <v>0</v>
      </c>
    </row>
    <row r="72" spans="5:11" hidden="1" x14ac:dyDescent="0.25">
      <c r="E72" s="78" t="s">
        <v>96</v>
      </c>
      <c r="F72" s="79"/>
      <c r="G72" s="80">
        <f>+G73+G74+G75+G76+G77</f>
        <v>0</v>
      </c>
      <c r="H72" s="80">
        <f>+H73+H74+H75+H76+H77</f>
        <v>0</v>
      </c>
      <c r="I72" s="80">
        <f>+I73+I74+I75+I76+I77</f>
        <v>0</v>
      </c>
      <c r="J72" s="80">
        <f>+J73+J74+J75+J76+J77</f>
        <v>0</v>
      </c>
      <c r="K72" s="74">
        <f t="shared" si="3"/>
        <v>0</v>
      </c>
    </row>
    <row r="73" spans="5:11" hidden="1" x14ac:dyDescent="0.25">
      <c r="E73" s="81" t="s">
        <v>72</v>
      </c>
      <c r="F73" s="76"/>
      <c r="G73" s="77">
        <v>0</v>
      </c>
      <c r="H73" s="77">
        <v>0</v>
      </c>
      <c r="I73" s="77">
        <v>0</v>
      </c>
      <c r="J73" s="77">
        <v>0</v>
      </c>
      <c r="K73" s="74">
        <f t="shared" si="3"/>
        <v>0</v>
      </c>
    </row>
    <row r="74" spans="5:11" hidden="1" x14ac:dyDescent="0.25">
      <c r="E74" s="81" t="s">
        <v>73</v>
      </c>
      <c r="F74" s="76"/>
      <c r="G74" s="77">
        <v>0</v>
      </c>
      <c r="H74" s="77">
        <v>0</v>
      </c>
      <c r="I74" s="77">
        <v>0</v>
      </c>
      <c r="J74" s="77">
        <v>0</v>
      </c>
      <c r="K74" s="74">
        <f t="shared" si="3"/>
        <v>0</v>
      </c>
    </row>
    <row r="75" spans="5:11" hidden="1" x14ac:dyDescent="0.25">
      <c r="E75" s="81" t="s">
        <v>74</v>
      </c>
      <c r="F75" s="76"/>
      <c r="G75" s="77">
        <v>0</v>
      </c>
      <c r="H75" s="77">
        <v>0</v>
      </c>
      <c r="I75" s="77">
        <v>0</v>
      </c>
      <c r="J75" s="77">
        <v>0</v>
      </c>
      <c r="K75" s="74">
        <f t="shared" si="3"/>
        <v>0</v>
      </c>
    </row>
    <row r="76" spans="5:11" hidden="1" x14ac:dyDescent="0.25">
      <c r="E76" s="81" t="s">
        <v>75</v>
      </c>
      <c r="F76" s="76"/>
      <c r="G76" s="77">
        <v>0</v>
      </c>
      <c r="H76" s="77">
        <v>0</v>
      </c>
      <c r="I76" s="77">
        <v>0</v>
      </c>
      <c r="J76" s="77">
        <v>0</v>
      </c>
      <c r="K76" s="74">
        <f t="shared" si="3"/>
        <v>0</v>
      </c>
    </row>
    <row r="77" spans="5:11" hidden="1" x14ac:dyDescent="0.25">
      <c r="E77" s="81" t="s">
        <v>76</v>
      </c>
      <c r="F77" s="76"/>
      <c r="G77" s="77">
        <v>0</v>
      </c>
      <c r="H77" s="77">
        <v>0</v>
      </c>
      <c r="I77" s="77">
        <v>0</v>
      </c>
      <c r="J77" s="77">
        <v>0</v>
      </c>
      <c r="K77" s="74">
        <f t="shared" si="3"/>
        <v>0</v>
      </c>
    </row>
    <row r="78" spans="5:11" hidden="1" x14ac:dyDescent="0.25">
      <c r="E78" s="78" t="s">
        <v>97</v>
      </c>
      <c r="F78" s="79"/>
      <c r="G78" s="80">
        <v>0</v>
      </c>
      <c r="H78" s="80">
        <v>0</v>
      </c>
      <c r="I78" s="80">
        <v>0</v>
      </c>
      <c r="J78" s="80">
        <v>0</v>
      </c>
      <c r="K78" s="74">
        <f t="shared" si="3"/>
        <v>0</v>
      </c>
    </row>
    <row r="79" spans="5:11" x14ac:dyDescent="0.25">
      <c r="E79" s="78" t="s">
        <v>208</v>
      </c>
      <c r="F79" s="79"/>
      <c r="G79" s="80">
        <f>+G80+G81</f>
        <v>0</v>
      </c>
      <c r="H79" s="80">
        <f>+H80+H81</f>
        <v>23871.667211903303</v>
      </c>
      <c r="I79" s="80">
        <f>+I80+I81</f>
        <v>1665868.6987307121</v>
      </c>
      <c r="J79" s="80">
        <f>+J80+J81</f>
        <v>14004747.7871994</v>
      </c>
      <c r="K79" s="74">
        <f t="shared" si="3"/>
        <v>15694488.153142016</v>
      </c>
    </row>
    <row r="80" spans="5:11" x14ac:dyDescent="0.25">
      <c r="E80" s="81" t="s">
        <v>98</v>
      </c>
      <c r="F80" s="76"/>
      <c r="G80" s="77">
        <f t="shared" ref="G80:J81" si="4">+G9</f>
        <v>0</v>
      </c>
      <c r="H80" s="77">
        <f t="shared" si="4"/>
        <v>23871.667211903303</v>
      </c>
      <c r="I80" s="77">
        <f t="shared" si="4"/>
        <v>100000</v>
      </c>
      <c r="J80" s="77">
        <f t="shared" si="4"/>
        <v>100000</v>
      </c>
      <c r="K80" s="74">
        <f t="shared" si="3"/>
        <v>223871.66721190332</v>
      </c>
    </row>
    <row r="81" spans="5:13" x14ac:dyDescent="0.25">
      <c r="E81" s="81" t="s">
        <v>210</v>
      </c>
      <c r="F81" s="76"/>
      <c r="G81" s="77">
        <f t="shared" si="4"/>
        <v>0</v>
      </c>
      <c r="H81" s="77">
        <f t="shared" si="4"/>
        <v>0</v>
      </c>
      <c r="I81" s="77">
        <f t="shared" si="4"/>
        <v>1565868.6987307121</v>
      </c>
      <c r="J81" s="77">
        <f t="shared" si="4"/>
        <v>13904747.7871994</v>
      </c>
      <c r="K81" s="74">
        <f t="shared" si="3"/>
        <v>15470616.485930113</v>
      </c>
    </row>
    <row r="82" spans="5:13" hidden="1" x14ac:dyDescent="0.25">
      <c r="E82" s="75"/>
      <c r="F82" s="76"/>
      <c r="G82" s="77"/>
      <c r="H82" s="77"/>
      <c r="I82" s="77"/>
      <c r="J82" s="77"/>
      <c r="K82" s="74">
        <f t="shared" ref="K82:K83" si="5">+(ABS(G82))+ABS(H82)+ABS(I82)+ABS(J82)</f>
        <v>0</v>
      </c>
    </row>
    <row r="83" spans="5:13" ht="15.75" x14ac:dyDescent="0.25">
      <c r="E83" s="67" t="s">
        <v>99</v>
      </c>
      <c r="F83" s="68"/>
      <c r="G83" s="83">
        <f>G48+G17</f>
        <v>45678.256604892202</v>
      </c>
      <c r="H83" s="83">
        <f>H17+H48</f>
        <v>64721.667211903303</v>
      </c>
      <c r="I83" s="83">
        <f>I17+I48</f>
        <v>1706356.1987307121</v>
      </c>
      <c r="J83" s="83">
        <f>J17+J48</f>
        <v>14064872.7871994</v>
      </c>
      <c r="K83" s="74">
        <f t="shared" si="5"/>
        <v>15881628.909746908</v>
      </c>
    </row>
    <row r="87" spans="5:13" x14ac:dyDescent="0.25">
      <c r="E87" s="106"/>
      <c r="F87" s="107"/>
      <c r="G87" s="107"/>
      <c r="H87" s="107"/>
      <c r="I87" s="107"/>
      <c r="J87" s="107"/>
      <c r="K87" s="107"/>
      <c r="L87" s="107"/>
      <c r="M87" s="108"/>
    </row>
    <row r="88" spans="5:13" x14ac:dyDescent="0.25">
      <c r="E88" s="109"/>
      <c r="F88" s="3"/>
      <c r="G88" s="3"/>
      <c r="H88" s="3"/>
      <c r="I88" s="3"/>
      <c r="J88" s="3"/>
      <c r="K88" s="3"/>
      <c r="L88" s="3"/>
      <c r="M88" s="110"/>
    </row>
    <row r="89" spans="5:13" x14ac:dyDescent="0.25">
      <c r="E89" s="109"/>
      <c r="F89" s="3"/>
      <c r="G89" s="3"/>
      <c r="H89" s="3"/>
      <c r="I89" s="170" t="s">
        <v>192</v>
      </c>
      <c r="J89" s="171"/>
      <c r="K89" s="171"/>
      <c r="L89" s="172"/>
      <c r="M89" s="110"/>
    </row>
    <row r="90" spans="5:13" x14ac:dyDescent="0.25">
      <c r="E90" s="112" t="s">
        <v>100</v>
      </c>
      <c r="F90" s="3" t="s">
        <v>101</v>
      </c>
      <c r="G90" s="3" t="s">
        <v>102</v>
      </c>
      <c r="H90" s="3" t="s">
        <v>103</v>
      </c>
      <c r="I90" s="3" t="s">
        <v>104</v>
      </c>
      <c r="J90" s="3" t="s">
        <v>105</v>
      </c>
      <c r="K90" s="3" t="s">
        <v>106</v>
      </c>
      <c r="L90" s="3" t="s">
        <v>107</v>
      </c>
      <c r="M90" s="110"/>
    </row>
    <row r="91" spans="5:13" x14ac:dyDescent="0.25">
      <c r="E91" s="109" t="s">
        <v>108</v>
      </c>
      <c r="F91" s="32">
        <v>950</v>
      </c>
      <c r="G91" s="3">
        <v>1</v>
      </c>
      <c r="H91" s="113">
        <v>0.25</v>
      </c>
      <c r="I91" s="32">
        <f>-$F$91*$H$91*1+$F$91</f>
        <v>712.5</v>
      </c>
      <c r="J91" s="32">
        <f>-$F$91*$H$91*2+$F$91</f>
        <v>475</v>
      </c>
      <c r="K91" s="32">
        <f>-$F$91*$H$91*3+$F$91</f>
        <v>237.5</v>
      </c>
      <c r="L91" s="32">
        <f>-$F$91*$H$91*4+$F$91</f>
        <v>0</v>
      </c>
      <c r="M91" s="110"/>
    </row>
    <row r="92" spans="5:13" x14ac:dyDescent="0.25">
      <c r="E92" s="109" t="s">
        <v>109</v>
      </c>
      <c r="F92" s="32">
        <v>500</v>
      </c>
      <c r="G92" s="3">
        <v>1</v>
      </c>
      <c r="H92" s="113">
        <v>0.25</v>
      </c>
      <c r="I92" s="53"/>
      <c r="J92" s="53">
        <f>-$F$92*$H$92*1+$F$92</f>
        <v>375</v>
      </c>
      <c r="K92" s="53">
        <f>-$F$92*$H$92*2+$F$92</f>
        <v>250</v>
      </c>
      <c r="L92" s="53">
        <f>-$F$92*$H$92*3+$F$92</f>
        <v>125</v>
      </c>
      <c r="M92" s="110"/>
    </row>
    <row r="93" spans="5:13" x14ac:dyDescent="0.25">
      <c r="E93" s="109"/>
      <c r="F93" s="3"/>
      <c r="G93" s="3"/>
      <c r="H93" s="3"/>
      <c r="I93" s="114">
        <f>SUM(I91:I92)</f>
        <v>712.5</v>
      </c>
      <c r="J93" s="114">
        <f t="shared" ref="J93:L93" si="6">SUM(J91:J92)</f>
        <v>850</v>
      </c>
      <c r="K93" s="114">
        <f t="shared" si="6"/>
        <v>487.5</v>
      </c>
      <c r="L93" s="114">
        <f t="shared" si="6"/>
        <v>125</v>
      </c>
      <c r="M93" s="110"/>
    </row>
    <row r="94" spans="5:13" x14ac:dyDescent="0.25">
      <c r="E94" s="109"/>
      <c r="F94" s="3"/>
      <c r="G94" s="3"/>
      <c r="H94" s="3"/>
      <c r="I94" s="3"/>
      <c r="J94" s="3"/>
      <c r="K94" s="3"/>
      <c r="L94" s="3"/>
      <c r="M94" s="110"/>
    </row>
    <row r="95" spans="5:13" x14ac:dyDescent="0.25">
      <c r="E95" s="109"/>
      <c r="F95" s="3"/>
      <c r="G95" s="3"/>
      <c r="H95" s="3"/>
      <c r="I95" s="170" t="s">
        <v>193</v>
      </c>
      <c r="J95" s="171"/>
      <c r="K95" s="171"/>
      <c r="L95" s="172"/>
      <c r="M95" s="110"/>
    </row>
    <row r="96" spans="5:13" x14ac:dyDescent="0.25">
      <c r="E96" s="109"/>
      <c r="F96" s="3"/>
      <c r="G96" s="3"/>
      <c r="H96" s="3"/>
      <c r="I96" s="3" t="s">
        <v>104</v>
      </c>
      <c r="J96" s="3" t="s">
        <v>105</v>
      </c>
      <c r="K96" s="3" t="s">
        <v>106</v>
      </c>
      <c r="L96" s="3" t="s">
        <v>107</v>
      </c>
      <c r="M96" s="110"/>
    </row>
    <row r="97" spans="5:13" x14ac:dyDescent="0.25">
      <c r="E97" s="109"/>
      <c r="F97" s="3"/>
      <c r="G97" s="3"/>
      <c r="H97" s="3"/>
      <c r="I97" s="3">
        <f>+$F$91*$H$91</f>
        <v>237.5</v>
      </c>
      <c r="J97" s="114">
        <f>+$F$91*$H$91+$F92*$H92</f>
        <v>362.5</v>
      </c>
      <c r="K97" s="114">
        <f>+$F$91*$H$91+$F92*$H92</f>
        <v>362.5</v>
      </c>
      <c r="L97" s="114">
        <f>+$F$91*$H$91+$F92*$H92</f>
        <v>362.5</v>
      </c>
      <c r="M97" s="110"/>
    </row>
    <row r="98" spans="5:13" x14ac:dyDescent="0.25">
      <c r="E98" s="50"/>
      <c r="F98" s="49"/>
      <c r="G98" s="49"/>
      <c r="H98" s="49"/>
      <c r="I98" s="49"/>
      <c r="J98" s="49"/>
      <c r="K98" s="49"/>
      <c r="L98" s="49"/>
      <c r="M98" s="111"/>
    </row>
    <row r="100" spans="5:13" x14ac:dyDescent="0.25">
      <c r="I100" s="3" t="s">
        <v>104</v>
      </c>
      <c r="J100" s="3" t="s">
        <v>105</v>
      </c>
      <c r="K100" s="3" t="s">
        <v>106</v>
      </c>
      <c r="L100" s="3" t="s">
        <v>107</v>
      </c>
    </row>
    <row r="101" spans="5:13" x14ac:dyDescent="0.25">
      <c r="E101" s="70" t="s">
        <v>194</v>
      </c>
      <c r="I101" s="56">
        <v>40000</v>
      </c>
      <c r="J101" s="65">
        <f>+I101</f>
        <v>40000</v>
      </c>
      <c r="K101" s="65">
        <f>+J101</f>
        <v>40000</v>
      </c>
      <c r="L101" s="65">
        <v>60000</v>
      </c>
    </row>
  </sheetData>
  <autoFilter ref="E16:K83">
    <filterColumn colId="6">
      <filters>
        <filter val="15.470.616,49"/>
        <filter val="15.694.488,15"/>
        <filter val="15.881.628,91"/>
        <filter val="180.000,00"/>
        <filter val="187.140,76"/>
        <filter val="2.175,00"/>
        <filter val="223.871,67"/>
        <filter val="4.965,76"/>
      </filters>
    </filterColumn>
  </autoFilter>
  <mergeCells count="2">
    <mergeCell ref="I89:L89"/>
    <mergeCell ref="I95:L95"/>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249977111117893"/>
  </sheetPr>
  <dimension ref="D2:J73"/>
  <sheetViews>
    <sheetView zoomScale="71" zoomScaleNormal="71" workbookViewId="0">
      <selection activeCell="F12" sqref="F12"/>
    </sheetView>
  </sheetViews>
  <sheetFormatPr defaultColWidth="7.28515625" defaultRowHeight="15" x14ac:dyDescent="0.25"/>
  <cols>
    <col min="1" max="3" width="7.28515625" style="1"/>
    <col min="4" max="4" width="81" style="1" bestFit="1" customWidth="1"/>
    <col min="5" max="5" width="9.42578125" style="1" bestFit="1" customWidth="1"/>
    <col min="6" max="6" width="14.5703125" style="1" bestFit="1" customWidth="1"/>
    <col min="7" max="7" width="15.28515625" style="1" bestFit="1" customWidth="1"/>
    <col min="8" max="8" width="16.5703125" style="1" bestFit="1" customWidth="1"/>
    <col min="9" max="9" width="18" style="1" bestFit="1" customWidth="1"/>
    <col min="10" max="10" width="14" style="1" bestFit="1" customWidth="1"/>
    <col min="11" max="16384" width="7.28515625" style="1"/>
  </cols>
  <sheetData>
    <row r="2" spans="4:10" x14ac:dyDescent="0.25">
      <c r="E2" s="74"/>
    </row>
    <row r="7" spans="4:10" ht="15.75" x14ac:dyDescent="0.25">
      <c r="D7" s="67" t="s">
        <v>110</v>
      </c>
      <c r="E7" s="85" t="s">
        <v>57</v>
      </c>
      <c r="F7" s="69">
        <v>2016</v>
      </c>
      <c r="G7" s="69">
        <v>2017</v>
      </c>
      <c r="H7" s="69">
        <v>2018</v>
      </c>
      <c r="I7" s="69">
        <v>2019</v>
      </c>
      <c r="J7" s="84" t="s">
        <v>58</v>
      </c>
    </row>
    <row r="8" spans="4:10" ht="15.75" x14ac:dyDescent="0.25">
      <c r="D8" s="71" t="s">
        <v>111</v>
      </c>
      <c r="E8" s="86"/>
      <c r="F8" s="73">
        <f>+F9</f>
        <v>15102.730185323395</v>
      </c>
      <c r="G8" s="73">
        <f>G9+G27+G33</f>
        <v>56041.250408927473</v>
      </c>
      <c r="H8" s="73">
        <f>H9+H27+H33</f>
        <v>1280756.8364458021</v>
      </c>
      <c r="I8" s="73">
        <f>I9+I27+I33</f>
        <v>10236955.068685867</v>
      </c>
      <c r="J8" s="74">
        <f>+(ABS(F8))+ABS(G8)+ABS(H8)+ABS(I8)</f>
        <v>11588855.885725919</v>
      </c>
    </row>
    <row r="9" spans="4:10" x14ac:dyDescent="0.25">
      <c r="D9" s="87" t="s">
        <v>112</v>
      </c>
      <c r="E9" s="88"/>
      <c r="F9" s="80">
        <f>+F11+F14+F15+F18+F19+F23</f>
        <v>15102.730185323395</v>
      </c>
      <c r="G9" s="80">
        <f>G11+G14+G19+G23</f>
        <v>56041.250408927473</v>
      </c>
      <c r="H9" s="80">
        <f>H11+H19+H14+H23</f>
        <v>1280756.8364458021</v>
      </c>
      <c r="I9" s="80">
        <f>I11+I19+I14+I23</f>
        <v>10236955.068685867</v>
      </c>
      <c r="J9" s="74">
        <f t="shared" ref="J9:J72" si="0">+(ABS(F9))+ABS(G9)+ABS(H9)+ABS(I9)</f>
        <v>11588855.885725919</v>
      </c>
    </row>
    <row r="10" spans="4:10" hidden="1" x14ac:dyDescent="0.25">
      <c r="D10" s="75"/>
      <c r="E10" s="89"/>
      <c r="F10" s="77"/>
      <c r="G10" s="77"/>
      <c r="H10" s="77"/>
      <c r="I10" s="77"/>
      <c r="J10" s="74">
        <f t="shared" si="0"/>
        <v>0</v>
      </c>
    </row>
    <row r="11" spans="4:10" x14ac:dyDescent="0.25">
      <c r="D11" s="78" t="s">
        <v>113</v>
      </c>
      <c r="E11" s="88"/>
      <c r="F11" s="80">
        <f>+F12</f>
        <v>30000</v>
      </c>
      <c r="G11" s="80">
        <f>+G12</f>
        <v>30000</v>
      </c>
      <c r="H11" s="80">
        <f>+H12</f>
        <v>30000</v>
      </c>
      <c r="I11" s="80">
        <f>+I12</f>
        <v>30000</v>
      </c>
      <c r="J11" s="74">
        <f t="shared" si="0"/>
        <v>120000</v>
      </c>
    </row>
    <row r="12" spans="4:10" x14ac:dyDescent="0.25">
      <c r="D12" s="81" t="s">
        <v>114</v>
      </c>
      <c r="E12" s="90"/>
      <c r="F12" s="77">
        <v>30000</v>
      </c>
      <c r="G12" s="77">
        <f>+F12</f>
        <v>30000</v>
      </c>
      <c r="H12" s="77">
        <f>G12</f>
        <v>30000</v>
      </c>
      <c r="I12" s="77">
        <f>H12</f>
        <v>30000</v>
      </c>
      <c r="J12" s="74">
        <f t="shared" si="0"/>
        <v>120000</v>
      </c>
    </row>
    <row r="13" spans="4:10" hidden="1" x14ac:dyDescent="0.25">
      <c r="D13" s="81" t="s">
        <v>115</v>
      </c>
      <c r="E13" s="89"/>
      <c r="F13" s="77">
        <v>0</v>
      </c>
      <c r="G13" s="77">
        <f>F13</f>
        <v>0</v>
      </c>
      <c r="H13" s="77">
        <v>0</v>
      </c>
      <c r="I13" s="77">
        <v>0</v>
      </c>
      <c r="J13" s="74">
        <f t="shared" si="0"/>
        <v>0</v>
      </c>
    </row>
    <row r="14" spans="4:10" hidden="1" x14ac:dyDescent="0.25">
      <c r="D14" s="78" t="s">
        <v>116</v>
      </c>
      <c r="E14" s="90"/>
      <c r="F14" s="80">
        <v>0</v>
      </c>
      <c r="G14" s="80">
        <v>0</v>
      </c>
      <c r="H14" s="80">
        <v>0</v>
      </c>
      <c r="I14" s="80">
        <v>0</v>
      </c>
      <c r="J14" s="74">
        <f t="shared" si="0"/>
        <v>0</v>
      </c>
    </row>
    <row r="15" spans="4:10" hidden="1" x14ac:dyDescent="0.25">
      <c r="D15" s="78" t="s">
        <v>117</v>
      </c>
      <c r="E15" s="88"/>
      <c r="F15" s="80">
        <v>0</v>
      </c>
      <c r="G15" s="80">
        <v>0</v>
      </c>
      <c r="H15" s="80">
        <v>0</v>
      </c>
      <c r="I15" s="80">
        <v>0</v>
      </c>
      <c r="J15" s="74">
        <f t="shared" si="0"/>
        <v>0</v>
      </c>
    </row>
    <row r="16" spans="4:10" hidden="1" x14ac:dyDescent="0.25">
      <c r="D16" s="81" t="s">
        <v>118</v>
      </c>
      <c r="E16" s="89"/>
      <c r="F16" s="77">
        <v>0</v>
      </c>
      <c r="G16" s="77">
        <v>0</v>
      </c>
      <c r="H16" s="77">
        <v>0</v>
      </c>
      <c r="I16" s="77">
        <v>0</v>
      </c>
      <c r="J16" s="74">
        <f t="shared" si="0"/>
        <v>0</v>
      </c>
    </row>
    <row r="17" spans="4:10" hidden="1" x14ac:dyDescent="0.25">
      <c r="D17" s="81" t="s">
        <v>119</v>
      </c>
      <c r="E17" s="89"/>
      <c r="F17" s="77">
        <v>0</v>
      </c>
      <c r="G17" s="77">
        <v>0</v>
      </c>
      <c r="H17" s="77">
        <v>0</v>
      </c>
      <c r="I17" s="77">
        <v>0</v>
      </c>
      <c r="J17" s="74">
        <f t="shared" si="0"/>
        <v>0</v>
      </c>
    </row>
    <row r="18" spans="4:10" hidden="1" x14ac:dyDescent="0.25">
      <c r="D18" s="78" t="s">
        <v>120</v>
      </c>
      <c r="E18" s="88"/>
      <c r="F18" s="80">
        <v>0</v>
      </c>
      <c r="G18" s="80">
        <v>0</v>
      </c>
      <c r="H18" s="80">
        <v>0</v>
      </c>
      <c r="I18" s="80">
        <v>0</v>
      </c>
      <c r="J18" s="74">
        <f t="shared" si="0"/>
        <v>0</v>
      </c>
    </row>
    <row r="19" spans="4:10" x14ac:dyDescent="0.25">
      <c r="D19" s="78" t="s">
        <v>203</v>
      </c>
      <c r="E19" s="88"/>
      <c r="F19" s="80">
        <v>0</v>
      </c>
      <c r="G19" s="80">
        <f>G21</f>
        <v>-14897.269814676605</v>
      </c>
      <c r="H19" s="80">
        <f>+H21</f>
        <v>0</v>
      </c>
      <c r="I19" s="80">
        <f>+I21</f>
        <v>0</v>
      </c>
      <c r="J19" s="74">
        <f t="shared" si="0"/>
        <v>14897.269814676605</v>
      </c>
    </row>
    <row r="20" spans="4:10" x14ac:dyDescent="0.25">
      <c r="D20" s="81" t="s">
        <v>121</v>
      </c>
      <c r="E20" s="89"/>
      <c r="F20" s="77">
        <v>0</v>
      </c>
      <c r="G20" s="77">
        <f>IF(F23&gt;0,F23,0)</f>
        <v>0</v>
      </c>
      <c r="H20" s="77">
        <f>IF((G23+G19)&gt;0,(G23+G19),0)</f>
        <v>26041.250408927473</v>
      </c>
      <c r="I20" s="77">
        <f>IF((H23+H19)&gt;0,(H23+H19),0)</f>
        <v>1250756.8364458021</v>
      </c>
      <c r="J20" s="74">
        <f t="shared" si="0"/>
        <v>1276798.0868547296</v>
      </c>
    </row>
    <row r="21" spans="4:10" x14ac:dyDescent="0.25">
      <c r="D21" s="81" t="s">
        <v>204</v>
      </c>
      <c r="E21" s="89"/>
      <c r="F21" s="77">
        <v>0</v>
      </c>
      <c r="G21" s="77">
        <f>IF(F23&lt;0,F23,0)</f>
        <v>-14897.269814676605</v>
      </c>
      <c r="H21" s="77">
        <f>IF((G23+G19)&lt;0,(G23+G19),0)</f>
        <v>0</v>
      </c>
      <c r="I21" s="77">
        <f>IF((H23+H19)&lt;0,(H23+H19),0)</f>
        <v>0</v>
      </c>
      <c r="J21" s="74">
        <f t="shared" si="0"/>
        <v>14897.269814676605</v>
      </c>
    </row>
    <row r="22" spans="4:10" hidden="1" x14ac:dyDescent="0.25">
      <c r="D22" s="78" t="s">
        <v>122</v>
      </c>
      <c r="E22" s="88"/>
      <c r="F22" s="80">
        <v>0</v>
      </c>
      <c r="G22" s="80">
        <v>0</v>
      </c>
      <c r="H22" s="80">
        <v>0</v>
      </c>
      <c r="I22" s="80">
        <v>0</v>
      </c>
      <c r="J22" s="74">
        <f t="shared" si="0"/>
        <v>0</v>
      </c>
    </row>
    <row r="23" spans="4:10" x14ac:dyDescent="0.25">
      <c r="D23" s="78" t="s">
        <v>205</v>
      </c>
      <c r="E23" s="88"/>
      <c r="F23" s="80">
        <f>+PyG!E34</f>
        <v>-14897.269814676605</v>
      </c>
      <c r="G23" s="80">
        <f>+PyG!F34</f>
        <v>40938.520223604079</v>
      </c>
      <c r="H23" s="80">
        <f>+PyG!G34</f>
        <v>1250756.8364458021</v>
      </c>
      <c r="I23" s="80">
        <f>+PyG!H34</f>
        <v>10206955.068685867</v>
      </c>
      <c r="J23" s="74">
        <f t="shared" si="0"/>
        <v>11513547.69516995</v>
      </c>
    </row>
    <row r="24" spans="4:10" hidden="1" x14ac:dyDescent="0.25">
      <c r="D24" s="78" t="s">
        <v>123</v>
      </c>
      <c r="E24" s="88"/>
      <c r="F24" s="80">
        <v>0</v>
      </c>
      <c r="G24" s="80">
        <v>0</v>
      </c>
      <c r="H24" s="80">
        <v>0</v>
      </c>
      <c r="I24" s="80">
        <v>0</v>
      </c>
      <c r="J24" s="74">
        <f t="shared" si="0"/>
        <v>0</v>
      </c>
    </row>
    <row r="25" spans="4:10" hidden="1" x14ac:dyDescent="0.25">
      <c r="D25" s="78" t="s">
        <v>124</v>
      </c>
      <c r="E25" s="88"/>
      <c r="F25" s="80">
        <v>0</v>
      </c>
      <c r="G25" s="80">
        <v>0</v>
      </c>
      <c r="H25" s="80">
        <v>0</v>
      </c>
      <c r="I25" s="80">
        <v>0</v>
      </c>
      <c r="J25" s="74">
        <f t="shared" si="0"/>
        <v>0</v>
      </c>
    </row>
    <row r="26" spans="4:10" hidden="1" x14ac:dyDescent="0.25">
      <c r="D26" s="91"/>
      <c r="E26" s="89"/>
      <c r="F26" s="92"/>
      <c r="G26" s="92"/>
      <c r="H26" s="92"/>
      <c r="I26" s="92"/>
      <c r="J26" s="74">
        <f t="shared" si="0"/>
        <v>0</v>
      </c>
    </row>
    <row r="27" spans="4:10" hidden="1" x14ac:dyDescent="0.25">
      <c r="D27" s="87" t="s">
        <v>125</v>
      </c>
      <c r="E27" s="88"/>
      <c r="F27" s="80">
        <v>0</v>
      </c>
      <c r="G27" s="80">
        <v>0</v>
      </c>
      <c r="H27" s="80">
        <v>0</v>
      </c>
      <c r="I27" s="80">
        <v>0</v>
      </c>
      <c r="J27" s="74">
        <f t="shared" si="0"/>
        <v>0</v>
      </c>
    </row>
    <row r="28" spans="4:10" hidden="1" x14ac:dyDescent="0.25">
      <c r="D28" s="91"/>
      <c r="E28" s="89"/>
      <c r="F28" s="92"/>
      <c r="G28" s="92"/>
      <c r="H28" s="92"/>
      <c r="I28" s="92"/>
      <c r="J28" s="74">
        <f t="shared" si="0"/>
        <v>0</v>
      </c>
    </row>
    <row r="29" spans="4:10" hidden="1" x14ac:dyDescent="0.25">
      <c r="D29" s="78" t="s">
        <v>126</v>
      </c>
      <c r="E29" s="88"/>
      <c r="F29" s="80">
        <v>0</v>
      </c>
      <c r="G29" s="80">
        <v>0</v>
      </c>
      <c r="H29" s="80">
        <v>0</v>
      </c>
      <c r="I29" s="80">
        <v>0</v>
      </c>
      <c r="J29" s="74">
        <f t="shared" si="0"/>
        <v>0</v>
      </c>
    </row>
    <row r="30" spans="4:10" hidden="1" x14ac:dyDescent="0.25">
      <c r="D30" s="78" t="s">
        <v>127</v>
      </c>
      <c r="E30" s="88"/>
      <c r="F30" s="80">
        <v>0</v>
      </c>
      <c r="G30" s="80">
        <v>0</v>
      </c>
      <c r="H30" s="80">
        <v>0</v>
      </c>
      <c r="I30" s="80">
        <v>0</v>
      </c>
      <c r="J30" s="74">
        <f t="shared" si="0"/>
        <v>0</v>
      </c>
    </row>
    <row r="31" spans="4:10" hidden="1" x14ac:dyDescent="0.25">
      <c r="D31" s="78" t="s">
        <v>128</v>
      </c>
      <c r="E31" s="88"/>
      <c r="F31" s="80">
        <v>0</v>
      </c>
      <c r="G31" s="80">
        <v>0</v>
      </c>
      <c r="H31" s="80">
        <v>0</v>
      </c>
      <c r="I31" s="80">
        <v>0</v>
      </c>
      <c r="J31" s="74">
        <f t="shared" si="0"/>
        <v>0</v>
      </c>
    </row>
    <row r="32" spans="4:10" hidden="1" x14ac:dyDescent="0.25">
      <c r="D32" s="91"/>
      <c r="E32" s="89"/>
      <c r="F32" s="92"/>
      <c r="G32" s="92"/>
      <c r="H32" s="92"/>
      <c r="I32" s="92"/>
      <c r="J32" s="74">
        <f t="shared" si="0"/>
        <v>0</v>
      </c>
    </row>
    <row r="33" spans="4:10" hidden="1" x14ac:dyDescent="0.25">
      <c r="D33" s="87" t="s">
        <v>129</v>
      </c>
      <c r="E33" s="88"/>
      <c r="F33" s="80">
        <v>0</v>
      </c>
      <c r="G33" s="80">
        <v>0</v>
      </c>
      <c r="H33" s="80">
        <v>0</v>
      </c>
      <c r="I33" s="80">
        <v>0</v>
      </c>
      <c r="J33" s="74">
        <f t="shared" si="0"/>
        <v>0</v>
      </c>
    </row>
    <row r="34" spans="4:10" hidden="1" x14ac:dyDescent="0.25">
      <c r="D34" s="91"/>
      <c r="E34" s="89"/>
      <c r="F34" s="92"/>
      <c r="G34" s="92"/>
      <c r="H34" s="92"/>
      <c r="I34" s="92"/>
      <c r="J34" s="74">
        <f t="shared" si="0"/>
        <v>0</v>
      </c>
    </row>
    <row r="35" spans="4:10" ht="15.75" hidden="1" x14ac:dyDescent="0.25">
      <c r="D35" s="71" t="s">
        <v>130</v>
      </c>
      <c r="E35" s="86"/>
      <c r="F35" s="73">
        <f>+F37+F42+F48+F49+F50</f>
        <v>0</v>
      </c>
      <c r="G35" s="73">
        <f t="shared" ref="G35:I35" si="1">+G37+G42+G48+G49+G50</f>
        <v>0</v>
      </c>
      <c r="H35" s="73">
        <f t="shared" si="1"/>
        <v>0</v>
      </c>
      <c r="I35" s="73">
        <f t="shared" si="1"/>
        <v>0</v>
      </c>
      <c r="J35" s="74">
        <f t="shared" si="0"/>
        <v>0</v>
      </c>
    </row>
    <row r="36" spans="4:10" hidden="1" x14ac:dyDescent="0.25">
      <c r="D36" s="91"/>
      <c r="E36" s="89"/>
      <c r="F36" s="92"/>
      <c r="G36" s="92"/>
      <c r="H36" s="92"/>
      <c r="I36" s="92"/>
      <c r="J36" s="74">
        <f t="shared" si="0"/>
        <v>0</v>
      </c>
    </row>
    <row r="37" spans="4:10" hidden="1" x14ac:dyDescent="0.25">
      <c r="D37" s="78" t="s">
        <v>131</v>
      </c>
      <c r="E37" s="88"/>
      <c r="F37" s="80">
        <f>+F38+F39+F40+F41</f>
        <v>0</v>
      </c>
      <c r="G37" s="80">
        <f>+G38+G39+G40+G41</f>
        <v>0</v>
      </c>
      <c r="H37" s="80">
        <f>+H38+H39+H40+H41</f>
        <v>0</v>
      </c>
      <c r="I37" s="80">
        <f>+I38+I39+I40+I41</f>
        <v>0</v>
      </c>
      <c r="J37" s="74">
        <f t="shared" si="0"/>
        <v>0</v>
      </c>
    </row>
    <row r="38" spans="4:10" hidden="1" x14ac:dyDescent="0.25">
      <c r="D38" s="81" t="s">
        <v>132</v>
      </c>
      <c r="E38" s="89"/>
      <c r="F38" s="77">
        <v>0</v>
      </c>
      <c r="G38" s="77">
        <v>0</v>
      </c>
      <c r="H38" s="77">
        <v>0</v>
      </c>
      <c r="I38" s="77">
        <v>0</v>
      </c>
      <c r="J38" s="74">
        <f t="shared" si="0"/>
        <v>0</v>
      </c>
    </row>
    <row r="39" spans="4:10" hidden="1" x14ac:dyDescent="0.25">
      <c r="D39" s="81" t="s">
        <v>133</v>
      </c>
      <c r="E39" s="89"/>
      <c r="F39" s="77">
        <v>0</v>
      </c>
      <c r="G39" s="77">
        <v>0</v>
      </c>
      <c r="H39" s="77">
        <v>0</v>
      </c>
      <c r="I39" s="77">
        <v>0</v>
      </c>
      <c r="J39" s="74">
        <f t="shared" si="0"/>
        <v>0</v>
      </c>
    </row>
    <row r="40" spans="4:10" hidden="1" x14ac:dyDescent="0.25">
      <c r="D40" s="81" t="s">
        <v>134</v>
      </c>
      <c r="E40" s="89"/>
      <c r="F40" s="77">
        <v>0</v>
      </c>
      <c r="G40" s="77">
        <v>0</v>
      </c>
      <c r="H40" s="77">
        <v>0</v>
      </c>
      <c r="I40" s="77">
        <v>0</v>
      </c>
      <c r="J40" s="74">
        <f t="shared" si="0"/>
        <v>0</v>
      </c>
    </row>
    <row r="41" spans="4:10" hidden="1" x14ac:dyDescent="0.25">
      <c r="D41" s="81" t="s">
        <v>135</v>
      </c>
      <c r="E41" s="89"/>
      <c r="F41" s="77">
        <v>0</v>
      </c>
      <c r="G41" s="77">
        <v>0</v>
      </c>
      <c r="H41" s="77">
        <v>0</v>
      </c>
      <c r="I41" s="77">
        <v>0</v>
      </c>
      <c r="J41" s="74">
        <f t="shared" si="0"/>
        <v>0</v>
      </c>
    </row>
    <row r="42" spans="4:10" hidden="1" x14ac:dyDescent="0.25">
      <c r="D42" s="78" t="s">
        <v>136</v>
      </c>
      <c r="E42" s="88"/>
      <c r="F42" s="80">
        <f>+F43+F44+F45+F46+F47</f>
        <v>0</v>
      </c>
      <c r="G42" s="80">
        <f>+G43+G44+G45+G46+G47</f>
        <v>0</v>
      </c>
      <c r="H42" s="80">
        <f>+H43+H44+H45+H46+H47</f>
        <v>0</v>
      </c>
      <c r="I42" s="80">
        <f>+I43+I44+I45+I46+I47</f>
        <v>0</v>
      </c>
      <c r="J42" s="74">
        <f t="shared" si="0"/>
        <v>0</v>
      </c>
    </row>
    <row r="43" spans="4:10" hidden="1" x14ac:dyDescent="0.25">
      <c r="D43" s="81" t="s">
        <v>137</v>
      </c>
      <c r="E43" s="89"/>
      <c r="F43" s="77">
        <v>0</v>
      </c>
      <c r="G43" s="77">
        <v>0</v>
      </c>
      <c r="H43" s="77">
        <v>0</v>
      </c>
      <c r="I43" s="77">
        <v>0</v>
      </c>
      <c r="J43" s="74">
        <f t="shared" si="0"/>
        <v>0</v>
      </c>
    </row>
    <row r="44" spans="4:10" hidden="1" x14ac:dyDescent="0.25">
      <c r="D44" s="81" t="s">
        <v>138</v>
      </c>
      <c r="E44" s="89"/>
      <c r="F44" s="77">
        <v>0</v>
      </c>
      <c r="G44" s="77">
        <v>0</v>
      </c>
      <c r="H44" s="77">
        <v>0</v>
      </c>
      <c r="I44" s="77">
        <v>0</v>
      </c>
      <c r="J44" s="74">
        <f t="shared" si="0"/>
        <v>0</v>
      </c>
    </row>
    <row r="45" spans="4:10" hidden="1" x14ac:dyDescent="0.25">
      <c r="D45" s="81" t="s">
        <v>139</v>
      </c>
      <c r="E45" s="89"/>
      <c r="F45" s="77">
        <v>0</v>
      </c>
      <c r="G45" s="77">
        <v>0</v>
      </c>
      <c r="H45" s="77">
        <v>0</v>
      </c>
      <c r="I45" s="77">
        <v>0</v>
      </c>
      <c r="J45" s="74">
        <f t="shared" si="0"/>
        <v>0</v>
      </c>
    </row>
    <row r="46" spans="4:10" hidden="1" x14ac:dyDescent="0.25">
      <c r="D46" s="81" t="s">
        <v>75</v>
      </c>
      <c r="E46" s="89"/>
      <c r="F46" s="77">
        <v>0</v>
      </c>
      <c r="G46" s="77">
        <v>0</v>
      </c>
      <c r="H46" s="77">
        <v>0</v>
      </c>
      <c r="I46" s="77">
        <v>0</v>
      </c>
      <c r="J46" s="74">
        <f t="shared" si="0"/>
        <v>0</v>
      </c>
    </row>
    <row r="47" spans="4:10" hidden="1" x14ac:dyDescent="0.25">
      <c r="D47" s="81" t="s">
        <v>140</v>
      </c>
      <c r="E47" s="89"/>
      <c r="F47" s="77">
        <v>0</v>
      </c>
      <c r="G47" s="77">
        <v>0</v>
      </c>
      <c r="H47" s="77">
        <v>0</v>
      </c>
      <c r="I47" s="77">
        <v>0</v>
      </c>
      <c r="J47" s="74">
        <f t="shared" si="0"/>
        <v>0</v>
      </c>
    </row>
    <row r="48" spans="4:10" hidden="1" x14ac:dyDescent="0.25">
      <c r="D48" s="78" t="s">
        <v>141</v>
      </c>
      <c r="E48" s="88"/>
      <c r="F48" s="80">
        <v>0</v>
      </c>
      <c r="G48" s="80">
        <v>0</v>
      </c>
      <c r="H48" s="80">
        <v>0</v>
      </c>
      <c r="I48" s="80">
        <v>0</v>
      </c>
      <c r="J48" s="74">
        <f t="shared" si="0"/>
        <v>0</v>
      </c>
    </row>
    <row r="49" spans="4:10" hidden="1" x14ac:dyDescent="0.25">
      <c r="D49" s="78" t="s">
        <v>142</v>
      </c>
      <c r="E49" s="88"/>
      <c r="F49" s="80">
        <v>0</v>
      </c>
      <c r="G49" s="80">
        <v>0</v>
      </c>
      <c r="H49" s="80">
        <v>0</v>
      </c>
      <c r="I49" s="80">
        <v>0</v>
      </c>
      <c r="J49" s="74">
        <f t="shared" si="0"/>
        <v>0</v>
      </c>
    </row>
    <row r="50" spans="4:10" hidden="1" x14ac:dyDescent="0.25">
      <c r="D50" s="78" t="s">
        <v>143</v>
      </c>
      <c r="E50" s="88"/>
      <c r="F50" s="80">
        <v>0</v>
      </c>
      <c r="G50" s="80">
        <v>0</v>
      </c>
      <c r="H50" s="80">
        <v>0</v>
      </c>
      <c r="I50" s="80">
        <v>0</v>
      </c>
      <c r="J50" s="74">
        <f t="shared" si="0"/>
        <v>0</v>
      </c>
    </row>
    <row r="51" spans="4:10" hidden="1" x14ac:dyDescent="0.25">
      <c r="D51" s="81"/>
      <c r="E51" s="89"/>
      <c r="F51" s="77"/>
      <c r="G51" s="77"/>
      <c r="H51" s="77"/>
      <c r="I51" s="77"/>
      <c r="J51" s="74">
        <f t="shared" si="0"/>
        <v>0</v>
      </c>
    </row>
    <row r="52" spans="4:10" ht="15.75" x14ac:dyDescent="0.25">
      <c r="D52" s="71" t="s">
        <v>206</v>
      </c>
      <c r="E52" s="86"/>
      <c r="F52" s="73">
        <f>+F54+F55+F56+F62+F63+F71</f>
        <v>30575.526419568807</v>
      </c>
      <c r="G52" s="73">
        <f t="shared" ref="G52:I52" si="2">+G54+G55+G56+G62+G63+G71</f>
        <v>8680.4168029758257</v>
      </c>
      <c r="H52" s="73">
        <f t="shared" si="2"/>
        <v>425599.36228490988</v>
      </c>
      <c r="I52" s="73">
        <f t="shared" si="2"/>
        <v>3827917.7185135325</v>
      </c>
      <c r="J52" s="74">
        <f t="shared" si="0"/>
        <v>4292773.0240209866</v>
      </c>
    </row>
    <row r="53" spans="4:10" hidden="1" x14ac:dyDescent="0.25">
      <c r="D53" s="91"/>
      <c r="E53" s="89"/>
      <c r="F53" s="92"/>
      <c r="G53" s="92"/>
      <c r="H53" s="92"/>
      <c r="I53" s="92"/>
      <c r="J53" s="74">
        <f t="shared" si="0"/>
        <v>0</v>
      </c>
    </row>
    <row r="54" spans="4:10" hidden="1" x14ac:dyDescent="0.25">
      <c r="D54" s="78" t="s">
        <v>144</v>
      </c>
      <c r="E54" s="88"/>
      <c r="F54" s="80">
        <v>0</v>
      </c>
      <c r="G54" s="80">
        <v>0</v>
      </c>
      <c r="H54" s="80">
        <v>0</v>
      </c>
      <c r="I54" s="80">
        <v>0</v>
      </c>
      <c r="J54" s="74">
        <f t="shared" si="0"/>
        <v>0</v>
      </c>
    </row>
    <row r="55" spans="4:10" hidden="1" x14ac:dyDescent="0.25">
      <c r="D55" s="78" t="s">
        <v>145</v>
      </c>
      <c r="E55" s="88"/>
      <c r="F55" s="80">
        <v>0</v>
      </c>
      <c r="G55" s="80">
        <v>0</v>
      </c>
      <c r="H55" s="80">
        <v>0</v>
      </c>
      <c r="I55" s="80">
        <v>0</v>
      </c>
      <c r="J55" s="74">
        <f t="shared" si="0"/>
        <v>0</v>
      </c>
    </row>
    <row r="56" spans="4:10" x14ac:dyDescent="0.25">
      <c r="D56" s="78" t="s">
        <v>146</v>
      </c>
      <c r="E56" s="88"/>
      <c r="F56" s="80">
        <f>+F57+F58+F59+F60+F61</f>
        <v>30575.526419568807</v>
      </c>
      <c r="G56" s="80">
        <f t="shared" ref="G56:I56" si="3">+G57+G58+G59+G60+G61</f>
        <v>0</v>
      </c>
      <c r="H56" s="80">
        <f t="shared" si="3"/>
        <v>0</v>
      </c>
      <c r="I56" s="80">
        <f t="shared" si="3"/>
        <v>0</v>
      </c>
      <c r="J56" s="74">
        <f t="shared" si="0"/>
        <v>30575.526419568807</v>
      </c>
    </row>
    <row r="57" spans="4:10" hidden="1" x14ac:dyDescent="0.25">
      <c r="D57" s="81" t="s">
        <v>137</v>
      </c>
      <c r="E57" s="89"/>
      <c r="F57" s="77">
        <v>0</v>
      </c>
      <c r="G57" s="77">
        <v>0</v>
      </c>
      <c r="H57" s="77">
        <v>0</v>
      </c>
      <c r="I57" s="77">
        <v>0</v>
      </c>
      <c r="J57" s="74">
        <f t="shared" si="0"/>
        <v>0</v>
      </c>
    </row>
    <row r="58" spans="4:10" x14ac:dyDescent="0.25">
      <c r="D58" s="81" t="s">
        <v>138</v>
      </c>
      <c r="E58" s="89"/>
      <c r="F58" s="77">
        <f>+Activo!G11</f>
        <v>30575.526419568807</v>
      </c>
      <c r="G58" s="77">
        <f>+Activo!H11</f>
        <v>0</v>
      </c>
      <c r="H58" s="77">
        <f>+Activo!I11</f>
        <v>0</v>
      </c>
      <c r="I58" s="77">
        <f>+Activo!J11</f>
        <v>0</v>
      </c>
      <c r="J58" s="74">
        <f t="shared" si="0"/>
        <v>30575.526419568807</v>
      </c>
    </row>
    <row r="59" spans="4:10" hidden="1" x14ac:dyDescent="0.25">
      <c r="D59" s="81" t="s">
        <v>139</v>
      </c>
      <c r="E59" s="89"/>
      <c r="F59" s="77">
        <v>0</v>
      </c>
      <c r="G59" s="77">
        <v>0</v>
      </c>
      <c r="H59" s="77">
        <v>0</v>
      </c>
      <c r="I59" s="77">
        <v>0</v>
      </c>
      <c r="J59" s="74">
        <f t="shared" si="0"/>
        <v>0</v>
      </c>
    </row>
    <row r="60" spans="4:10" hidden="1" x14ac:dyDescent="0.25">
      <c r="D60" s="81" t="s">
        <v>75</v>
      </c>
      <c r="E60" s="89"/>
      <c r="F60" s="77">
        <v>0</v>
      </c>
      <c r="G60" s="77">
        <v>0</v>
      </c>
      <c r="H60" s="77">
        <v>0</v>
      </c>
      <c r="I60" s="77">
        <v>0</v>
      </c>
      <c r="J60" s="74">
        <f t="shared" si="0"/>
        <v>0</v>
      </c>
    </row>
    <row r="61" spans="4:10" hidden="1" x14ac:dyDescent="0.25">
      <c r="D61" s="81" t="s">
        <v>140</v>
      </c>
      <c r="E61" s="89"/>
      <c r="F61" s="77">
        <v>0</v>
      </c>
      <c r="G61" s="77">
        <v>0</v>
      </c>
      <c r="H61" s="77">
        <v>0</v>
      </c>
      <c r="I61" s="77">
        <v>0</v>
      </c>
      <c r="J61" s="74">
        <f t="shared" si="0"/>
        <v>0</v>
      </c>
    </row>
    <row r="62" spans="4:10" hidden="1" x14ac:dyDescent="0.25">
      <c r="D62" s="78" t="s">
        <v>147</v>
      </c>
      <c r="E62" s="88"/>
      <c r="F62" s="80">
        <v>0</v>
      </c>
      <c r="G62" s="80">
        <v>0</v>
      </c>
      <c r="H62" s="80">
        <v>0</v>
      </c>
      <c r="I62" s="80">
        <v>0</v>
      </c>
      <c r="J62" s="74">
        <f t="shared" si="0"/>
        <v>0</v>
      </c>
    </row>
    <row r="63" spans="4:10" x14ac:dyDescent="0.25">
      <c r="D63" s="78" t="s">
        <v>148</v>
      </c>
      <c r="E63" s="88"/>
      <c r="F63" s="80">
        <f>+F64+F65+F66+F67+F68+F69+F70</f>
        <v>0</v>
      </c>
      <c r="G63" s="80">
        <f t="shared" ref="G63:I63" si="4">+G64+G65+G66+G67+G68+G69+G70</f>
        <v>8680.4168029758257</v>
      </c>
      <c r="H63" s="80">
        <f t="shared" si="4"/>
        <v>425599.36228490988</v>
      </c>
      <c r="I63" s="80">
        <f t="shared" si="4"/>
        <v>3827917.7185135325</v>
      </c>
      <c r="J63" s="74">
        <f t="shared" si="0"/>
        <v>4262197.4976014178</v>
      </c>
    </row>
    <row r="64" spans="4:10" hidden="1" x14ac:dyDescent="0.25">
      <c r="D64" s="81" t="s">
        <v>149</v>
      </c>
      <c r="E64" s="89"/>
      <c r="F64" s="77">
        <v>0</v>
      </c>
      <c r="G64" s="77">
        <v>0</v>
      </c>
      <c r="H64" s="77">
        <v>0</v>
      </c>
      <c r="I64" s="77">
        <v>0</v>
      </c>
      <c r="J64" s="74">
        <f t="shared" si="0"/>
        <v>0</v>
      </c>
    </row>
    <row r="65" spans="4:10" hidden="1" x14ac:dyDescent="0.25">
      <c r="D65" s="81" t="s">
        <v>150</v>
      </c>
      <c r="E65" s="89"/>
      <c r="F65" s="77">
        <v>0</v>
      </c>
      <c r="G65" s="77">
        <v>0</v>
      </c>
      <c r="H65" s="77">
        <v>0</v>
      </c>
      <c r="I65" s="77">
        <v>0</v>
      </c>
      <c r="J65" s="74">
        <f t="shared" si="0"/>
        <v>0</v>
      </c>
    </row>
    <row r="66" spans="4:10" hidden="1" x14ac:dyDescent="0.25">
      <c r="D66" s="81" t="s">
        <v>151</v>
      </c>
      <c r="E66" s="89"/>
      <c r="F66" s="77">
        <v>0</v>
      </c>
      <c r="G66" s="77">
        <v>0</v>
      </c>
      <c r="H66" s="77">
        <v>0</v>
      </c>
      <c r="I66" s="77">
        <v>0</v>
      </c>
      <c r="J66" s="74">
        <f t="shared" si="0"/>
        <v>0</v>
      </c>
    </row>
    <row r="67" spans="4:10" hidden="1" x14ac:dyDescent="0.25">
      <c r="D67" s="81" t="s">
        <v>152</v>
      </c>
      <c r="E67" s="89"/>
      <c r="F67" s="77">
        <v>0</v>
      </c>
      <c r="G67" s="77">
        <v>0</v>
      </c>
      <c r="H67" s="77">
        <v>0</v>
      </c>
      <c r="I67" s="77">
        <v>0</v>
      </c>
      <c r="J67" s="74">
        <f t="shared" si="0"/>
        <v>0</v>
      </c>
    </row>
    <row r="68" spans="4:10" x14ac:dyDescent="0.25">
      <c r="D68" s="81" t="s">
        <v>153</v>
      </c>
      <c r="E68" s="89"/>
      <c r="F68" s="77">
        <f>IF(PyG!E32&lt;0,-PyG!E32,0)</f>
        <v>0</v>
      </c>
      <c r="G68" s="77">
        <f>IF((PyG!E32+PyG!F32)&lt;0,-(PyG!E32+PyG!F32),0)</f>
        <v>8680.4168029758257</v>
      </c>
      <c r="H68" s="77">
        <f>IF((PyG!E32+PyG!F32+PyG!G32)&lt;0,-(PyG!E32+PyG!F32+PyG!G32),0)</f>
        <v>425599.36228490988</v>
      </c>
      <c r="I68" s="77">
        <f>IF((PyG!E32+PyG!F32+PyG!G32+PyG!H32)&lt;0,-(PyG!E32+PyG!F32+PyG!G32+PyG!H32),0)</f>
        <v>3827917.7185135325</v>
      </c>
      <c r="J68" s="74">
        <f t="shared" si="0"/>
        <v>4262197.4976014178</v>
      </c>
    </row>
    <row r="69" spans="4:10" hidden="1" x14ac:dyDescent="0.25">
      <c r="D69" s="81" t="s">
        <v>154</v>
      </c>
      <c r="E69" s="89"/>
      <c r="F69" s="77">
        <v>0</v>
      </c>
      <c r="G69" s="77">
        <v>0</v>
      </c>
      <c r="H69" s="77">
        <v>0</v>
      </c>
      <c r="I69" s="77">
        <v>0</v>
      </c>
      <c r="J69" s="74">
        <f t="shared" si="0"/>
        <v>0</v>
      </c>
    </row>
    <row r="70" spans="4:10" hidden="1" x14ac:dyDescent="0.25">
      <c r="D70" s="81" t="s">
        <v>155</v>
      </c>
      <c r="E70" s="89"/>
      <c r="F70" s="77">
        <v>0</v>
      </c>
      <c r="G70" s="77">
        <v>0</v>
      </c>
      <c r="H70" s="77">
        <v>0</v>
      </c>
      <c r="I70" s="77">
        <v>0</v>
      </c>
      <c r="J70" s="74">
        <f t="shared" si="0"/>
        <v>0</v>
      </c>
    </row>
    <row r="71" spans="4:10" hidden="1" x14ac:dyDescent="0.25">
      <c r="D71" s="78" t="s">
        <v>97</v>
      </c>
      <c r="E71" s="88"/>
      <c r="F71" s="80">
        <v>0</v>
      </c>
      <c r="G71" s="80">
        <v>0</v>
      </c>
      <c r="H71" s="80">
        <v>0</v>
      </c>
      <c r="I71" s="80">
        <v>0</v>
      </c>
      <c r="J71" s="74">
        <f t="shared" si="0"/>
        <v>0</v>
      </c>
    </row>
    <row r="72" spans="4:10" hidden="1" x14ac:dyDescent="0.25">
      <c r="D72" s="75"/>
      <c r="E72" s="89"/>
      <c r="F72" s="77"/>
      <c r="G72" s="77"/>
      <c r="H72" s="77"/>
      <c r="I72" s="77"/>
      <c r="J72" s="74">
        <f t="shared" si="0"/>
        <v>0</v>
      </c>
    </row>
    <row r="73" spans="4:10" ht="15.75" x14ac:dyDescent="0.25">
      <c r="D73" s="67" t="s">
        <v>156</v>
      </c>
      <c r="E73" s="85"/>
      <c r="F73" s="83">
        <f>+F8+F35+F52</f>
        <v>45678.256604892202</v>
      </c>
      <c r="G73" s="83">
        <f>+G8+G35+G52</f>
        <v>64721.667211903303</v>
      </c>
      <c r="H73" s="83">
        <f>+H8+H35+H52</f>
        <v>1706356.1987307121</v>
      </c>
      <c r="I73" s="83">
        <f>+I8+I35+I52</f>
        <v>14064872.7871994</v>
      </c>
      <c r="J73" s="74">
        <f t="shared" ref="J73" si="5">+(ABS(F73))+ABS(G73)+ABS(H73)+ABS(I73)</f>
        <v>15881628.909746908</v>
      </c>
    </row>
  </sheetData>
  <autoFilter ref="D7:J73">
    <filterColumn colId="6">
      <filters>
        <filter val="1.276.798,09"/>
        <filter val="11.513.547,70"/>
        <filter val="11.652.859,89"/>
        <filter val="120.000,00"/>
        <filter val="14.897,27"/>
        <filter val="15.945.632,91"/>
        <filter val="184.004,00"/>
        <filter val="30.575,53"/>
        <filter val="4.262.197,50"/>
        <filter val="4.292.773,02"/>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Instrucciones y consideraciones</vt:lpstr>
      <vt:lpstr>Cálculo valoración empresa</vt:lpstr>
      <vt:lpstr>Matriz de riesgos</vt:lpstr>
      <vt:lpstr>2015-2016</vt:lpstr>
      <vt:lpstr>2017</vt:lpstr>
      <vt:lpstr>2018</vt:lpstr>
      <vt:lpstr>2019</vt:lpstr>
      <vt:lpstr>Activo</vt:lpstr>
      <vt:lpstr>Pasivo</vt:lpstr>
      <vt:lpstr>PyG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2015-05-06T18:58:32Z</dcterms:modified>
</cp:coreProperties>
</file>